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35" windowWidth="20730" windowHeight="11760" activeTab="3"/>
  </bookViews>
  <sheets>
    <sheet name="Sheet2" sheetId="2" r:id="rId1"/>
    <sheet name="Feuil1" sheetId="4" r:id="rId2"/>
    <sheet name="Sheet1" sheetId="1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L15" i="3"/>
  <c r="L14"/>
  <c r="L13"/>
  <c r="L12"/>
  <c r="F15"/>
  <c r="F14"/>
  <c r="F13"/>
  <c r="P11" i="4"/>
  <c r="P6"/>
  <c r="P5"/>
  <c r="N6"/>
  <c r="M6"/>
  <c r="P10"/>
  <c r="N10"/>
  <c r="N9"/>
  <c r="P9" s="1"/>
  <c r="P13" s="1"/>
  <c r="P8"/>
  <c r="N8"/>
  <c r="N7"/>
  <c r="P7" s="1"/>
  <c r="O6"/>
  <c r="O5"/>
  <c r="M5"/>
  <c r="N5" s="1"/>
  <c r="O20" i="2"/>
  <c r="O19"/>
  <c r="O18"/>
  <c r="O21"/>
  <c r="I73"/>
  <c r="I74"/>
  <c r="I72"/>
  <c r="H72"/>
  <c r="H73"/>
  <c r="H74"/>
  <c r="N21"/>
  <c r="N20"/>
  <c r="O27"/>
  <c r="N19"/>
  <c r="N18"/>
  <c r="N17"/>
  <c r="F74"/>
  <c r="F73"/>
  <c r="F72"/>
  <c r="J37"/>
  <c r="J38" s="1"/>
  <c r="J36"/>
  <c r="H53"/>
  <c r="I53" s="1"/>
  <c r="H54"/>
  <c r="I54" s="1"/>
  <c r="H55"/>
  <c r="I55" s="1"/>
  <c r="H56"/>
  <c r="I56" s="1"/>
  <c r="H46"/>
  <c r="I46" s="1"/>
  <c r="H47"/>
  <c r="I47" s="1"/>
  <c r="H48"/>
  <c r="I48" s="1"/>
  <c r="H49"/>
  <c r="I49" s="1"/>
  <c r="H50"/>
  <c r="I50" s="1"/>
  <c r="H51"/>
  <c r="I51" s="1"/>
  <c r="H52"/>
  <c r="I52" s="1"/>
  <c r="H45"/>
  <c r="I45" s="1"/>
  <c r="C42"/>
  <c r="G17" i="1"/>
  <c r="G12"/>
  <c r="G16"/>
  <c r="G15"/>
  <c r="G9"/>
  <c r="G11"/>
  <c r="P34" i="4" l="1"/>
  <c r="K49" i="2"/>
  <c r="K50"/>
  <c r="K56"/>
  <c r="K48"/>
  <c r="K54"/>
  <c r="K46"/>
  <c r="K55"/>
  <c r="K51"/>
  <c r="K47"/>
  <c r="K52"/>
  <c r="K45"/>
  <c r="K53"/>
  <c r="P22" i="4" l="1"/>
  <c r="P27" s="1"/>
  <c r="P28" s="1"/>
</calcChain>
</file>

<file path=xl/sharedStrings.xml><?xml version="1.0" encoding="utf-8"?>
<sst xmlns="http://schemas.openxmlformats.org/spreadsheetml/2006/main" count="195" uniqueCount="141">
  <si>
    <t>12"</t>
  </si>
  <si>
    <t>6"</t>
  </si>
  <si>
    <t>Din</t>
  </si>
  <si>
    <t>V181</t>
  </si>
  <si>
    <t>Dryer</t>
  </si>
  <si>
    <t>ORS</t>
  </si>
  <si>
    <t>V175</t>
  </si>
  <si>
    <t>F171/2/3</t>
  </si>
  <si>
    <t>OilS</t>
  </si>
  <si>
    <t>ml/min</t>
  </si>
  <si>
    <t>inch</t>
  </si>
  <si>
    <t>mm</t>
  </si>
  <si>
    <t>in case laminar</t>
  </si>
  <si>
    <t>mL/min</t>
  </si>
  <si>
    <t>mbar*l/sec</t>
  </si>
  <si>
    <t>Ratio</t>
  </si>
  <si>
    <t>L</t>
  </si>
  <si>
    <t>mL</t>
  </si>
  <si>
    <t>Conversion mL/min en mbar*L/sec</t>
  </si>
  <si>
    <t>bar*L</t>
  </si>
  <si>
    <t>mbar*L</t>
  </si>
  <si>
    <t>mbar*L/min</t>
  </si>
  <si>
    <t>mbar*L/s</t>
  </si>
  <si>
    <t>nb bubbles</t>
  </si>
  <si>
    <t>q of Argon</t>
  </si>
  <si>
    <t>q of Neon</t>
  </si>
  <si>
    <t>q of Hydrogen</t>
  </si>
  <si>
    <t>q of Nitrogen</t>
  </si>
  <si>
    <t>q of Air</t>
  </si>
  <si>
    <t>q of Water Vapour</t>
  </si>
  <si>
    <t>n a test carried out with a 10% Helium / 90% Air mixture, the measured Helium leakrate is 10% of the total leakrate,</t>
  </si>
  <si>
    <t>(0.9 x 1.077) + (0.1 x 1) = 1.069</t>
  </si>
  <si>
    <t>Type of Gas</t>
  </si>
  <si>
    <t>Air</t>
  </si>
  <si>
    <t>Nitrogen</t>
  </si>
  <si>
    <t>Oxygen</t>
  </si>
  <si>
    <t>Argon</t>
  </si>
  <si>
    <t>Hydrogen</t>
  </si>
  <si>
    <t>Helium</t>
  </si>
  <si>
    <t>Carbondioxide</t>
  </si>
  <si>
    <t>R-12</t>
  </si>
  <si>
    <t>R-22</t>
  </si>
  <si>
    <t>R-134a</t>
  </si>
  <si>
    <t>R-600a</t>
  </si>
  <si>
    <t>Formular</t>
  </si>
  <si>
    <r>
      <t>N</t>
    </r>
    <r>
      <rPr>
        <vertAlign val="subscript"/>
        <sz val="11"/>
        <color theme="1"/>
        <rFont val="Calibri"/>
        <family val="2"/>
        <scheme val="minor"/>
      </rPr>
      <t>2</t>
    </r>
  </si>
  <si>
    <r>
      <t>O</t>
    </r>
    <r>
      <rPr>
        <vertAlign val="subscript"/>
        <sz val="11"/>
        <color theme="1"/>
        <rFont val="Calibri"/>
        <family val="2"/>
        <scheme val="minor"/>
      </rPr>
      <t>2</t>
    </r>
  </si>
  <si>
    <t>Ar</t>
  </si>
  <si>
    <r>
      <t>H</t>
    </r>
    <r>
      <rPr>
        <vertAlign val="subscript"/>
        <sz val="11"/>
        <color theme="1"/>
        <rFont val="Calibri"/>
        <family val="2"/>
        <scheme val="minor"/>
      </rPr>
      <t>2</t>
    </r>
  </si>
  <si>
    <t>He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</si>
  <si>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</si>
  <si>
    <r>
      <t>CCl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F</t>
    </r>
    <r>
      <rPr>
        <vertAlign val="subscript"/>
        <sz val="11"/>
        <color theme="1"/>
        <rFont val="Calibri"/>
        <family val="2"/>
        <scheme val="minor"/>
      </rPr>
      <t>2</t>
    </r>
  </si>
  <si>
    <r>
      <t>CHClF</t>
    </r>
    <r>
      <rPr>
        <vertAlign val="subscript"/>
        <sz val="11"/>
        <color theme="1"/>
        <rFont val="Calibri"/>
        <family val="2"/>
        <scheme val="minor"/>
      </rPr>
      <t>2</t>
    </r>
  </si>
  <si>
    <r>
      <t>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F-CF</t>
    </r>
    <r>
      <rPr>
        <vertAlign val="subscript"/>
        <sz val="11"/>
        <color theme="1"/>
        <rFont val="Calibri"/>
        <family val="2"/>
        <scheme val="minor"/>
      </rPr>
      <t>3</t>
    </r>
  </si>
  <si>
    <r>
      <t>CH(CH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-CH</t>
    </r>
    <r>
      <rPr>
        <vertAlign val="subscript"/>
        <sz val="11"/>
        <color theme="1"/>
        <rFont val="Calibri"/>
        <family val="2"/>
        <scheme val="minor"/>
      </rPr>
      <t>3</t>
    </r>
  </si>
  <si>
    <t>Viscosity at 15°C in Pa·s</t>
  </si>
  <si>
    <r>
      <t>22.0 · 10</t>
    </r>
    <r>
      <rPr>
        <vertAlign val="superscript"/>
        <sz val="11"/>
        <color theme="1"/>
        <rFont val="Calibri"/>
        <family val="2"/>
        <scheme val="minor"/>
      </rPr>
      <t>-6</t>
    </r>
  </si>
  <si>
    <r>
      <t>14.5 · 10</t>
    </r>
    <r>
      <rPr>
        <vertAlign val="superscript"/>
        <sz val="11"/>
        <color theme="1"/>
        <rFont val="Calibri"/>
        <family val="2"/>
        <scheme val="minor"/>
      </rPr>
      <t>-6</t>
    </r>
  </si>
  <si>
    <r>
      <t>11.6 · 10</t>
    </r>
    <r>
      <rPr>
        <vertAlign val="superscript"/>
        <sz val="11"/>
        <color theme="1"/>
        <rFont val="Calibri"/>
        <family val="2"/>
        <scheme val="minor"/>
      </rPr>
      <t>-6</t>
    </r>
  </si>
  <si>
    <r>
      <t>12.0 · 10</t>
    </r>
    <r>
      <rPr>
        <vertAlign val="superscript"/>
        <sz val="11"/>
        <color theme="1"/>
        <rFont val="Calibri"/>
        <family val="2"/>
        <scheme val="minor"/>
      </rPr>
      <t>-6</t>
    </r>
  </si>
  <si>
    <r>
      <t>11.61 · 10</t>
    </r>
    <r>
      <rPr>
        <vertAlign val="superscript"/>
        <sz val="11"/>
        <color theme="1"/>
        <rFont val="Calibri"/>
        <family val="2"/>
        <scheme val="minor"/>
      </rPr>
      <t>-6</t>
    </r>
  </si>
  <si>
    <r>
      <t>7.4 · 10</t>
    </r>
    <r>
      <rPr>
        <vertAlign val="superscript"/>
        <sz val="11"/>
        <color theme="1"/>
        <rFont val="Calibri"/>
        <family val="2"/>
        <scheme val="minor"/>
      </rPr>
      <t>-6</t>
    </r>
  </si>
  <si>
    <t>Types of flow</t>
  </si>
  <si>
    <t>turbulent flow</t>
  </si>
  <si>
    <t>laminar flow</t>
  </si>
  <si>
    <t>transitional flow</t>
  </si>
  <si>
    <t>molecular flow</t>
  </si>
  <si>
    <t>Leak Rate (mbar · l/s)</t>
  </si>
  <si>
    <r>
      <t>10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 xml:space="preserve"> - 10</t>
    </r>
    <r>
      <rPr>
        <vertAlign val="superscript"/>
        <sz val="11"/>
        <color theme="1"/>
        <rFont val="Calibri"/>
        <family val="2"/>
        <scheme val="minor"/>
      </rPr>
      <t>-6</t>
    </r>
  </si>
  <si>
    <r>
      <t>10</t>
    </r>
    <r>
      <rPr>
        <vertAlign val="superscript"/>
        <sz val="11"/>
        <color theme="1"/>
        <rFont val="Calibri"/>
        <family val="2"/>
        <scheme val="minor"/>
      </rPr>
      <t>-4</t>
    </r>
    <r>
      <rPr>
        <sz val="11"/>
        <color theme="1"/>
        <rFont val="Calibri"/>
        <family val="2"/>
        <scheme val="minor"/>
      </rPr>
      <t xml:space="preserve"> - 10-7</t>
    </r>
  </si>
  <si>
    <r>
      <t>&gt; 10</t>
    </r>
    <r>
      <rPr>
        <vertAlign val="superscript"/>
        <sz val="11"/>
        <color theme="1"/>
        <rFont val="Calibri"/>
        <family val="2"/>
        <scheme val="minor"/>
      </rPr>
      <t>-2</t>
    </r>
  </si>
  <si>
    <r>
      <t>&lt; 10</t>
    </r>
    <r>
      <rPr>
        <vertAlign val="superscript"/>
        <sz val="11"/>
        <color theme="1"/>
        <rFont val="Calibri"/>
        <family val="2"/>
        <scheme val="minor"/>
      </rPr>
      <t>-7</t>
    </r>
  </si>
  <si>
    <t>Test Air</t>
  </si>
  <si>
    <t>Operating</t>
  </si>
  <si>
    <r>
      <t xml:space="preserve">Conversion of helium leak rate at </t>
    </r>
    <r>
      <rPr>
        <sz val="16"/>
        <color rgb="FFFF0000"/>
        <rFont val="Calibri"/>
        <family val="2"/>
        <scheme val="minor"/>
      </rPr>
      <t>laminar</t>
    </r>
    <r>
      <rPr>
        <b/>
        <sz val="16"/>
        <color theme="1"/>
        <rFont val="Calibri"/>
        <family val="2"/>
        <scheme val="minor"/>
      </rPr>
      <t xml:space="preserve"> flow to leak rates of other gases</t>
    </r>
  </si>
  <si>
    <t>nombre de Knudsen</t>
  </si>
  <si>
    <t>Kn 1</t>
  </si>
  <si>
    <t>Le tableau suivant donne quelques valeurs typiques pour l'air à différentes pressions et à température ambiante.</t>
  </si>
  <si>
    <t>Degré de vide</t>
  </si>
  <si>
    <t>Pression en hPa</t>
  </si>
  <si>
    <t>Molécules / cm³</t>
  </si>
  <si>
    <t>Libre parcours moyen</t>
  </si>
  <si>
    <t>Pression ambiante</t>
  </si>
  <si>
    <r>
      <t>2.7*10</t>
    </r>
    <r>
      <rPr>
        <vertAlign val="superscript"/>
        <sz val="11"/>
        <color theme="1"/>
        <rFont val="Calibri"/>
        <family val="2"/>
        <scheme val="minor"/>
      </rPr>
      <t>19</t>
    </r>
    <r>
      <rPr>
        <sz val="11"/>
        <color theme="1"/>
        <rFont val="Calibri"/>
        <family val="2"/>
        <scheme val="minor"/>
      </rPr>
      <t>..</t>
    </r>
  </si>
  <si>
    <t>68 nm</t>
  </si>
  <si>
    <t>Vide relatif</t>
  </si>
  <si>
    <t>300..1</t>
  </si>
  <si>
    <r>
      <t>10</t>
    </r>
    <r>
      <rPr>
        <vertAlign val="superscript"/>
        <sz val="11"/>
        <color theme="1"/>
        <rFont val="Calibri"/>
        <family val="2"/>
        <scheme val="minor"/>
      </rPr>
      <t>19</t>
    </r>
    <r>
      <rPr>
        <sz val="11"/>
        <color theme="1"/>
        <rFont val="Calibri"/>
        <family val="2"/>
        <scheme val="minor"/>
      </rPr>
      <t>..10</t>
    </r>
    <r>
      <rPr>
        <vertAlign val="superscript"/>
        <sz val="11"/>
        <color theme="1"/>
        <rFont val="Calibri"/>
        <family val="2"/>
        <scheme val="minor"/>
      </rPr>
      <t>16</t>
    </r>
  </si>
  <si>
    <t>0.1..100 µm</t>
  </si>
  <si>
    <t>Vide</t>
  </si>
  <si>
    <r>
      <t>1..10</t>
    </r>
    <r>
      <rPr>
        <vertAlign val="superscript"/>
        <sz val="11"/>
        <color theme="1"/>
        <rFont val="Calibri"/>
        <family val="2"/>
        <scheme val="minor"/>
      </rPr>
      <t>-3</t>
    </r>
  </si>
  <si>
    <r>
      <t>10</t>
    </r>
    <r>
      <rPr>
        <vertAlign val="super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..10</t>
    </r>
    <r>
      <rPr>
        <vertAlign val="superscript"/>
        <sz val="11"/>
        <color theme="1"/>
        <rFont val="Calibri"/>
        <family val="2"/>
        <scheme val="minor"/>
      </rPr>
      <t>13</t>
    </r>
  </si>
  <si>
    <t>0.1..100 mm</t>
  </si>
  <si>
    <t>Vide poussé</t>
  </si>
  <si>
    <r>
      <t>10</t>
    </r>
    <r>
      <rPr>
        <vertAlign val="superscript"/>
        <sz val="11"/>
        <color theme="1"/>
        <rFont val="Calibri"/>
        <family val="2"/>
        <scheme val="minor"/>
      </rPr>
      <t>-3</t>
    </r>
    <r>
      <rPr>
        <sz val="11"/>
        <color theme="1"/>
        <rFont val="Calibri"/>
        <family val="2"/>
        <scheme val="minor"/>
      </rPr>
      <t>..10</t>
    </r>
    <r>
      <rPr>
        <vertAlign val="superscript"/>
        <sz val="11"/>
        <color theme="1"/>
        <rFont val="Calibri"/>
        <family val="2"/>
        <scheme val="minor"/>
      </rPr>
      <t>-7</t>
    </r>
  </si>
  <si>
    <r>
      <t>10</t>
    </r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..10</t>
    </r>
    <r>
      <rPr>
        <vertAlign val="superscript"/>
        <sz val="11"/>
        <color theme="1"/>
        <rFont val="Calibri"/>
        <family val="2"/>
        <scheme val="minor"/>
      </rPr>
      <t>9</t>
    </r>
  </si>
  <si>
    <t>10 cm..1 km</t>
  </si>
  <si>
    <t>Vide très poussé</t>
  </si>
  <si>
    <r>
      <t>10</t>
    </r>
    <r>
      <rPr>
        <vertAlign val="superscript"/>
        <sz val="11"/>
        <color theme="1"/>
        <rFont val="Calibri"/>
        <family val="2"/>
        <scheme val="minor"/>
      </rPr>
      <t>-7</t>
    </r>
    <r>
      <rPr>
        <sz val="11"/>
        <color theme="1"/>
        <rFont val="Calibri"/>
        <family val="2"/>
        <scheme val="minor"/>
      </rPr>
      <t>..10</t>
    </r>
    <r>
      <rPr>
        <vertAlign val="superscript"/>
        <sz val="11"/>
        <color theme="1"/>
        <rFont val="Calibri"/>
        <family val="2"/>
        <scheme val="minor"/>
      </rPr>
      <t>-12</t>
    </r>
  </si>
  <si>
    <r>
      <t>10</t>
    </r>
    <r>
      <rPr>
        <vertAlign val="super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..10</t>
    </r>
    <r>
      <rPr>
        <vertAlign val="superscript"/>
        <sz val="11"/>
        <color theme="1"/>
        <rFont val="Calibri"/>
        <family val="2"/>
        <scheme val="minor"/>
      </rPr>
      <t>4</t>
    </r>
  </si>
  <si>
    <r>
      <t>1 km..10</t>
    </r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km</t>
    </r>
  </si>
  <si>
    <t>Vide extrême</t>
  </si>
  <si>
    <r>
      <t>&lt;10</t>
    </r>
    <r>
      <rPr>
        <vertAlign val="superscript"/>
        <sz val="11"/>
        <color theme="1"/>
        <rFont val="Calibri"/>
        <family val="2"/>
        <scheme val="minor"/>
      </rPr>
      <t>-12</t>
    </r>
  </si>
  <si>
    <r>
      <t>&lt;10</t>
    </r>
    <r>
      <rPr>
        <vertAlign val="superscript"/>
        <sz val="11"/>
        <color theme="1"/>
        <rFont val="Calibri"/>
        <family val="2"/>
        <scheme val="minor"/>
      </rPr>
      <t>4</t>
    </r>
  </si>
  <si>
    <r>
      <t>&gt;10</t>
    </r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km</t>
    </r>
  </si>
  <si>
    <t>Kn&gt;200</t>
  </si>
  <si>
    <t>Laminaire</t>
  </si>
  <si>
    <t>Moleculaire</t>
  </si>
  <si>
    <t>poiseuille</t>
  </si>
  <si>
    <t>Relative to air</t>
  </si>
  <si>
    <t>50 pound/square inch = 3.447 378 64 bar</t>
  </si>
  <si>
    <t>Helium (50PSIg)</t>
  </si>
  <si>
    <t xml:space="preserve"> </t>
  </si>
  <si>
    <t xml:space="preserve">----&gt; </t>
  </si>
  <si>
    <t>Pin1</t>
  </si>
  <si>
    <t>Pout2</t>
  </si>
  <si>
    <t>Pin2</t>
  </si>
  <si>
    <t>Pout1</t>
  </si>
  <si>
    <t>Helium (Operating)</t>
  </si>
  <si>
    <t>ANSI /FCI-2 2006</t>
  </si>
  <si>
    <t>CONTROL VALVE SEAT LEAKAGE</t>
  </si>
  <si>
    <t>hauteur tube 282</t>
  </si>
  <si>
    <t>Montée en pression</t>
  </si>
  <si>
    <t>mbar</t>
  </si>
  <si>
    <t>Volume total</t>
  </si>
  <si>
    <t>Durée</t>
  </si>
  <si>
    <t>h</t>
  </si>
  <si>
    <t>mbar.L-s-1</t>
  </si>
  <si>
    <t>Volume réel</t>
  </si>
  <si>
    <t>m3</t>
  </si>
  <si>
    <t>heures</t>
  </si>
  <si>
    <t>jours</t>
  </si>
  <si>
    <t>Diam.</t>
  </si>
  <si>
    <t>Surface</t>
  </si>
  <si>
    <t>Long.</t>
  </si>
  <si>
    <t>Vol</t>
  </si>
  <si>
    <t>m3/day</t>
  </si>
  <si>
    <t>L/h</t>
  </si>
  <si>
    <t>L/s</t>
  </si>
  <si>
    <t>mL/s</t>
  </si>
  <si>
    <t>mbar.L/s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</si>
</sst>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9">
    <font>
      <sz val="11"/>
      <color theme="1"/>
      <name val="Calibri"/>
      <family val="2"/>
      <scheme val="minor"/>
    </font>
    <font>
      <b/>
      <sz val="11"/>
      <color rgb="FF3C65A0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u/>
      <sz val="12.65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3" borderId="0" xfId="0" applyFill="1"/>
    <xf numFmtId="0" fontId="2" fillId="0" borderId="0" xfId="0" applyFont="1"/>
    <xf numFmtId="0" fontId="0" fillId="2" borderId="0" xfId="0" applyFill="1" applyAlignment="1">
      <alignment horizontal="center"/>
    </xf>
    <xf numFmtId="0" fontId="2" fillId="2" borderId="0" xfId="0" applyFont="1" applyFill="1"/>
    <xf numFmtId="0" fontId="1" fillId="2" borderId="0" xfId="0" applyFont="1" applyFill="1"/>
    <xf numFmtId="0" fontId="5" fillId="3" borderId="0" xfId="0" applyFont="1" applyFill="1" applyAlignment="1">
      <alignment horizontal="center"/>
    </xf>
    <xf numFmtId="11" fontId="0" fillId="2" borderId="0" xfId="0" applyNumberFormat="1" applyFill="1"/>
    <xf numFmtId="0" fontId="6" fillId="0" borderId="0" xfId="0" applyFont="1"/>
    <xf numFmtId="0" fontId="2" fillId="0" borderId="0" xfId="0" applyFont="1" applyAlignment="1">
      <alignment horizontal="center" vertical="center" wrapText="1"/>
    </xf>
    <xf numFmtId="0" fontId="8" fillId="0" borderId="0" xfId="1" applyAlignment="1" applyProtection="1">
      <alignment horizontal="center" vertical="center" wrapText="1"/>
    </xf>
    <xf numFmtId="0" fontId="0" fillId="0" borderId="0" xfId="0" applyAlignment="1">
      <alignment horizontal="center" wrapText="1"/>
    </xf>
    <xf numFmtId="2" fontId="0" fillId="2" borderId="0" xfId="0" applyNumberFormat="1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164" fontId="0" fillId="2" borderId="4" xfId="0" applyNumberFormat="1" applyFill="1" applyBorder="1"/>
    <xf numFmtId="164" fontId="0" fillId="2" borderId="0" xfId="0" applyNumberFormat="1" applyFill="1" applyBorder="1"/>
    <xf numFmtId="164" fontId="0" fillId="2" borderId="6" xfId="0" applyNumberFormat="1" applyFill="1" applyBorder="1"/>
    <xf numFmtId="164" fontId="0" fillId="2" borderId="7" xfId="0" applyNumberFormat="1" applyFill="1" applyBorder="1"/>
    <xf numFmtId="0" fontId="0" fillId="2" borderId="0" xfId="0" quotePrefix="1" applyFill="1" applyAlignment="1">
      <alignment horizontal="center"/>
    </xf>
    <xf numFmtId="2" fontId="0" fillId="2" borderId="0" xfId="0" applyNumberFormat="1" applyFill="1" applyAlignment="1">
      <alignment horizontal="center"/>
    </xf>
    <xf numFmtId="165" fontId="0" fillId="0" borderId="0" xfId="0" applyNumberFormat="1"/>
    <xf numFmtId="2" fontId="0" fillId="0" borderId="0" xfId="0" applyNumberFormat="1"/>
    <xf numFmtId="2" fontId="2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gif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gif"/><Relationship Id="rId10" Type="http://schemas.openxmlformats.org/officeDocument/2006/relationships/image" Target="../media/image10.png"/><Relationship Id="rId4" Type="http://schemas.openxmlformats.org/officeDocument/2006/relationships/image" Target="../media/image4.gif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4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94421</xdr:colOff>
      <xdr:row>20</xdr:row>
      <xdr:rowOff>211206</xdr:rowOff>
    </xdr:from>
    <xdr:to>
      <xdr:col>8</xdr:col>
      <xdr:colOff>550379</xdr:colOff>
      <xdr:row>22</xdr:row>
      <xdr:rowOff>202996</xdr:rowOff>
    </xdr:to>
    <xdr:pic>
      <xdr:nvPicPr>
        <xdr:cNvPr id="2" name="Picture 2" descr="\frac{q_{He}}{q_{Air}} = \frac{\sqrt{29}}{\sqrt{4}} = 2.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64595" y="4277967"/>
          <a:ext cx="1333914" cy="43276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19</xdr:row>
      <xdr:rowOff>85725</xdr:rowOff>
    </xdr:from>
    <xdr:to>
      <xdr:col>3</xdr:col>
      <xdr:colOff>79001</xdr:colOff>
      <xdr:row>21</xdr:row>
      <xdr:rowOff>101975</xdr:rowOff>
    </xdr:to>
    <xdr:pic>
      <xdr:nvPicPr>
        <xdr:cNvPr id="1025" name="Picture 1" descr="q = \frac{\pi \cdot r^4}{16 \cdot \eta \cdot l} \, ({p_1}^2 - {p_2}^2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29025" y="2867025"/>
          <a:ext cx="1724025" cy="4286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76200</xdr:colOff>
      <xdr:row>22</xdr:row>
      <xdr:rowOff>38100</xdr:rowOff>
    </xdr:from>
    <xdr:to>
      <xdr:col>2</xdr:col>
      <xdr:colOff>342900</xdr:colOff>
      <xdr:row>23</xdr:row>
      <xdr:rowOff>228601</xdr:rowOff>
    </xdr:to>
    <xdr:pic>
      <xdr:nvPicPr>
        <xdr:cNvPr id="1026" name="Picture 2" descr="q = K \, \frac {({p_1}^2-{p_2}^2)}{\eta}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48075" y="3390900"/>
          <a:ext cx="1314450" cy="4286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273326</xdr:colOff>
      <xdr:row>19</xdr:row>
      <xdr:rowOff>57150</xdr:rowOff>
    </xdr:from>
    <xdr:to>
      <xdr:col>4</xdr:col>
      <xdr:colOff>482877</xdr:colOff>
      <xdr:row>21</xdr:row>
      <xdr:rowOff>44825</xdr:rowOff>
    </xdr:to>
    <xdr:pic>
      <xdr:nvPicPr>
        <xdr:cNvPr id="1027" name="Picture 3" descr="K = \, \frac {\pi \cdot r^4}{16 \cdot l}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551043" y="2235476"/>
          <a:ext cx="822463" cy="39839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47625</xdr:colOff>
      <xdr:row>24</xdr:row>
      <xdr:rowOff>85725</xdr:rowOff>
    </xdr:from>
    <xdr:to>
      <xdr:col>3</xdr:col>
      <xdr:colOff>569819</xdr:colOff>
      <xdr:row>25</xdr:row>
      <xdr:rowOff>200026</xdr:rowOff>
    </xdr:to>
    <xdr:pic>
      <xdr:nvPicPr>
        <xdr:cNvPr id="1028" name="Picture 4" descr="\frac{q_A}{({p_{A1}}^2-{p_{A2}}^2)} = \frac{q_B}{({p_{B1}}^2-{p_{B2}}^2)}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619500" y="3895725"/>
          <a:ext cx="2228850" cy="3524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723900</xdr:colOff>
      <xdr:row>11</xdr:row>
      <xdr:rowOff>152400</xdr:rowOff>
    </xdr:from>
    <xdr:to>
      <xdr:col>9</xdr:col>
      <xdr:colOff>230257</xdr:colOff>
      <xdr:row>19</xdr:row>
      <xdr:rowOff>184336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514975" y="533400"/>
          <a:ext cx="1743075" cy="1819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1219200</xdr:colOff>
      <xdr:row>58</xdr:row>
      <xdr:rowOff>76200</xdr:rowOff>
    </xdr:from>
    <xdr:to>
      <xdr:col>9</xdr:col>
      <xdr:colOff>41998</xdr:colOff>
      <xdr:row>70</xdr:row>
      <xdr:rowOff>142875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28800" y="10534650"/>
          <a:ext cx="4829175" cy="2352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85725</xdr:colOff>
      <xdr:row>58</xdr:row>
      <xdr:rowOff>133350</xdr:rowOff>
    </xdr:from>
    <xdr:to>
      <xdr:col>23</xdr:col>
      <xdr:colOff>200025</xdr:colOff>
      <xdr:row>99</xdr:row>
      <xdr:rowOff>123825</xdr:rowOff>
    </xdr:to>
    <xdr:pic>
      <xdr:nvPicPr>
        <xdr:cNvPr id="5" name="Picture 3" descr="kello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363200" y="5276850"/>
          <a:ext cx="4991100" cy="780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198783</xdr:colOff>
      <xdr:row>2</xdr:row>
      <xdr:rowOff>165654</xdr:rowOff>
    </xdr:from>
    <xdr:to>
      <xdr:col>3</xdr:col>
      <xdr:colOff>187089</xdr:colOff>
      <xdr:row>4</xdr:row>
      <xdr:rowOff>161616</xdr:rowOff>
    </xdr:to>
    <xdr:pic>
      <xdr:nvPicPr>
        <xdr:cNvPr id="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63587" y="546654"/>
          <a:ext cx="646043" cy="3603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115956</xdr:colOff>
      <xdr:row>2</xdr:row>
      <xdr:rowOff>140806</xdr:rowOff>
    </xdr:from>
    <xdr:to>
      <xdr:col>8</xdr:col>
      <xdr:colOff>505240</xdr:colOff>
      <xdr:row>4</xdr:row>
      <xdr:rowOff>135493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986130" y="521806"/>
          <a:ext cx="1267240" cy="3591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66261</xdr:colOff>
      <xdr:row>4</xdr:row>
      <xdr:rowOff>125474</xdr:rowOff>
    </xdr:from>
    <xdr:to>
      <xdr:col>9</xdr:col>
      <xdr:colOff>205873</xdr:colOff>
      <xdr:row>6</xdr:row>
      <xdr:rowOff>107672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936435" y="870909"/>
          <a:ext cx="1630481" cy="3466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39464</xdr:colOff>
      <xdr:row>26</xdr:row>
      <xdr:rowOff>62365</xdr:rowOff>
    </xdr:from>
    <xdr:to>
      <xdr:col>30</xdr:col>
      <xdr:colOff>158247</xdr:colOff>
      <xdr:row>54</xdr:row>
      <xdr:rowOff>155179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4080435" y="5553247"/>
          <a:ext cx="8680077" cy="547163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324971</xdr:colOff>
      <xdr:row>6</xdr:row>
      <xdr:rowOff>156883</xdr:rowOff>
    </xdr:from>
    <xdr:to>
      <xdr:col>4</xdr:col>
      <xdr:colOff>369795</xdr:colOff>
      <xdr:row>11</xdr:row>
      <xdr:rowOff>33710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24971" y="1255059"/>
          <a:ext cx="2958353" cy="8181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392205</xdr:colOff>
      <xdr:row>35</xdr:row>
      <xdr:rowOff>11206</xdr:rowOff>
    </xdr:from>
    <xdr:to>
      <xdr:col>4</xdr:col>
      <xdr:colOff>224678</xdr:colOff>
      <xdr:row>37</xdr:row>
      <xdr:rowOff>30256</xdr:rowOff>
    </xdr:to>
    <xdr:pic>
      <xdr:nvPicPr>
        <xdr:cNvPr id="1125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97323" y="7194177"/>
          <a:ext cx="2096061" cy="4000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1</xdr:row>
      <xdr:rowOff>91537</xdr:rowOff>
    </xdr:from>
    <xdr:to>
      <xdr:col>3</xdr:col>
      <xdr:colOff>390525</xdr:colOff>
      <xdr:row>13</xdr:row>
      <xdr:rowOff>172919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1" y="282037"/>
          <a:ext cx="2638424" cy="23673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47625</xdr:colOff>
      <xdr:row>2</xdr:row>
      <xdr:rowOff>161925</xdr:rowOff>
    </xdr:from>
    <xdr:to>
      <xdr:col>6</xdr:col>
      <xdr:colOff>354775</xdr:colOff>
      <xdr:row>14</xdr:row>
      <xdr:rowOff>28575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95625" y="542925"/>
          <a:ext cx="1831150" cy="2152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38100</xdr:colOff>
      <xdr:row>13</xdr:row>
      <xdr:rowOff>152400</xdr:rowOff>
    </xdr:from>
    <xdr:to>
      <xdr:col>3</xdr:col>
      <xdr:colOff>361950</xdr:colOff>
      <xdr:row>28</xdr:row>
      <xdr:rowOff>33104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" y="2628900"/>
          <a:ext cx="2609850" cy="273820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409575</xdr:colOff>
      <xdr:row>14</xdr:row>
      <xdr:rowOff>30091</xdr:rowOff>
    </xdr:from>
    <xdr:to>
      <xdr:col>6</xdr:col>
      <xdr:colOff>371475</xdr:colOff>
      <xdr:row>27</xdr:row>
      <xdr:rowOff>128678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695575" y="2697091"/>
          <a:ext cx="2247900" cy="25750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fr.wikipedia.org/wiki/Mol%C3%A9cul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3:T74"/>
  <sheetViews>
    <sheetView topLeftCell="A25" zoomScale="85" zoomScaleNormal="85" workbookViewId="0">
      <selection activeCell="G29" sqref="G29:K39"/>
    </sheetView>
  </sheetViews>
  <sheetFormatPr defaultRowHeight="15"/>
  <cols>
    <col min="1" max="1" width="9.140625" style="1"/>
    <col min="2" max="2" width="15.7109375" style="1" bestFit="1" customWidth="1"/>
    <col min="3" max="3" width="9.7109375" style="1" bestFit="1" customWidth="1"/>
    <col min="4" max="5" width="9.140625" style="1"/>
    <col min="6" max="6" width="10.140625" style="1" customWidth="1"/>
    <col min="7" max="7" width="11.28515625" style="1" customWidth="1"/>
    <col min="8" max="8" width="13.140625" style="1" bestFit="1" customWidth="1"/>
    <col min="9" max="9" width="9.140625" style="1"/>
    <col min="10" max="10" width="12.42578125" style="1" customWidth="1"/>
    <col min="11" max="11" width="9.140625" style="1"/>
    <col min="12" max="12" width="11.85546875" style="1" customWidth="1"/>
    <col min="13" max="13" width="13" style="1" customWidth="1"/>
    <col min="14" max="14" width="22.140625" style="1" customWidth="1"/>
    <col min="15" max="15" width="18.140625" style="1" customWidth="1"/>
    <col min="16" max="16" width="18" style="1" customWidth="1"/>
    <col min="17" max="24" width="9.140625" style="1"/>
    <col min="25" max="25" width="19.5703125" style="1" customWidth="1"/>
    <col min="26" max="16384" width="9.140625" style="1"/>
  </cols>
  <sheetData>
    <row r="3" spans="2:20" ht="14.25" customHeight="1">
      <c r="M3" t="s">
        <v>77</v>
      </c>
      <c r="N3"/>
      <c r="O3"/>
      <c r="P3"/>
    </row>
    <row r="4" spans="2:20" ht="14.25" customHeight="1">
      <c r="B4" s="1" t="s">
        <v>75</v>
      </c>
      <c r="F4" s="1" t="s">
        <v>105</v>
      </c>
      <c r="G4" s="1" t="s">
        <v>106</v>
      </c>
      <c r="J4" s="1" t="s">
        <v>105</v>
      </c>
      <c r="K4" s="1" t="s">
        <v>108</v>
      </c>
      <c r="M4"/>
      <c r="N4"/>
      <c r="O4"/>
      <c r="P4"/>
    </row>
    <row r="5" spans="2:20" ht="14.25" customHeight="1">
      <c r="M5" s="11" t="s">
        <v>78</v>
      </c>
      <c r="N5" s="11" t="s">
        <v>79</v>
      </c>
      <c r="O5" s="12" t="s">
        <v>80</v>
      </c>
      <c r="P5" s="11" t="s">
        <v>81</v>
      </c>
    </row>
    <row r="6" spans="2:20" ht="14.25" customHeight="1">
      <c r="F6" s="1" t="s">
        <v>76</v>
      </c>
      <c r="G6" s="1" t="s">
        <v>107</v>
      </c>
      <c r="M6" s="2" t="s">
        <v>82</v>
      </c>
      <c r="N6" s="13">
        <v>1013</v>
      </c>
      <c r="O6" s="13" t="s">
        <v>83</v>
      </c>
      <c r="P6" s="2" t="s">
        <v>84</v>
      </c>
    </row>
    <row r="7" spans="2:20" ht="14.25" customHeight="1">
      <c r="M7" s="2" t="s">
        <v>85</v>
      </c>
      <c r="N7" s="13" t="s">
        <v>86</v>
      </c>
      <c r="O7" s="13" t="s">
        <v>87</v>
      </c>
      <c r="P7" s="2" t="s">
        <v>88</v>
      </c>
    </row>
    <row r="8" spans="2:20" ht="14.25" customHeight="1">
      <c r="M8" s="2" t="s">
        <v>89</v>
      </c>
      <c r="N8" s="13" t="s">
        <v>90</v>
      </c>
      <c r="O8" s="13" t="s">
        <v>91</v>
      </c>
      <c r="P8" s="2" t="s">
        <v>92</v>
      </c>
    </row>
    <row r="9" spans="2:20" ht="14.25" customHeight="1">
      <c r="M9" s="2" t="s">
        <v>93</v>
      </c>
      <c r="N9" s="13" t="s">
        <v>94</v>
      </c>
      <c r="O9" s="13" t="s">
        <v>95</v>
      </c>
      <c r="P9" s="2" t="s">
        <v>96</v>
      </c>
    </row>
    <row r="10" spans="2:20" ht="14.25" customHeight="1">
      <c r="M10" s="2" t="s">
        <v>97</v>
      </c>
      <c r="N10" s="13" t="s">
        <v>98</v>
      </c>
      <c r="O10" s="13" t="s">
        <v>99</v>
      </c>
      <c r="P10" s="2" t="s">
        <v>100</v>
      </c>
    </row>
    <row r="11" spans="2:20" ht="30">
      <c r="M11" s="2" t="s">
        <v>101</v>
      </c>
      <c r="N11" s="13" t="s">
        <v>102</v>
      </c>
      <c r="O11" s="13" t="s">
        <v>103</v>
      </c>
      <c r="P11" s="2" t="s">
        <v>104</v>
      </c>
    </row>
    <row r="13" spans="2:20" ht="21">
      <c r="B13" s="4" t="s">
        <v>62</v>
      </c>
      <c r="C13" s="6"/>
      <c r="D13" s="4" t="s">
        <v>67</v>
      </c>
      <c r="R13" s="10" t="s">
        <v>74</v>
      </c>
    </row>
    <row r="14" spans="2:20" ht="17.25">
      <c r="B14" s="1" t="s">
        <v>63</v>
      </c>
      <c r="D14" s="1" t="s">
        <v>70</v>
      </c>
    </row>
    <row r="15" spans="2:20" ht="17.25">
      <c r="B15" s="3" t="s">
        <v>64</v>
      </c>
      <c r="C15" s="3"/>
      <c r="D15" s="3" t="s">
        <v>68</v>
      </c>
      <c r="E15" s="3"/>
      <c r="R15" s="1" t="s">
        <v>24</v>
      </c>
      <c r="T15" s="1">
        <v>0.88300000000000001</v>
      </c>
    </row>
    <row r="16" spans="2:20" ht="17.25">
      <c r="B16" s="1" t="s">
        <v>65</v>
      </c>
      <c r="D16" s="1" t="s">
        <v>69</v>
      </c>
      <c r="K16" s="6" t="s">
        <v>32</v>
      </c>
      <c r="L16" s="6"/>
      <c r="M16" s="6" t="s">
        <v>44</v>
      </c>
      <c r="N16" s="6" t="s">
        <v>55</v>
      </c>
      <c r="O16" s="6" t="s">
        <v>109</v>
      </c>
      <c r="R16" s="1" t="s">
        <v>25</v>
      </c>
      <c r="T16" s="1">
        <v>0.626</v>
      </c>
    </row>
    <row r="17" spans="2:20" ht="17.25">
      <c r="B17" s="1" t="s">
        <v>66</v>
      </c>
      <c r="D17" s="1" t="s">
        <v>71</v>
      </c>
      <c r="K17" s="1" t="s">
        <v>33</v>
      </c>
      <c r="N17" s="9">
        <f>18*10^-6</f>
        <v>1.8E-5</v>
      </c>
      <c r="O17" s="14">
        <v>1</v>
      </c>
      <c r="R17" s="1" t="s">
        <v>26</v>
      </c>
      <c r="T17" s="1">
        <v>2.23</v>
      </c>
    </row>
    <row r="18" spans="2:20" ht="18">
      <c r="K18" s="1" t="s">
        <v>34</v>
      </c>
      <c r="M18" s="1" t="s">
        <v>45</v>
      </c>
      <c r="N18" s="9">
        <f>16.3*10^-6</f>
        <v>1.63E-5</v>
      </c>
      <c r="O18" s="14">
        <f t="shared" ref="O18:O20" si="0">N18/$N$17</f>
        <v>0.90555555555555556</v>
      </c>
      <c r="R18" s="1" t="s">
        <v>27</v>
      </c>
      <c r="T18" s="1">
        <v>1.1200000000000001</v>
      </c>
    </row>
    <row r="19" spans="2:20" ht="18">
      <c r="B19" s="6" t="s">
        <v>12</v>
      </c>
      <c r="C19" s="6"/>
      <c r="D19" s="6"/>
      <c r="E19" s="6"/>
      <c r="K19" s="1" t="s">
        <v>35</v>
      </c>
      <c r="M19" s="1" t="s">
        <v>46</v>
      </c>
      <c r="N19" s="9">
        <f>19.9*10^-6</f>
        <v>1.9899999999999999E-5</v>
      </c>
      <c r="O19" s="14">
        <f t="shared" si="0"/>
        <v>1.1055555555555554</v>
      </c>
      <c r="R19" s="1" t="s">
        <v>28</v>
      </c>
      <c r="T19" s="1">
        <v>1.08</v>
      </c>
    </row>
    <row r="20" spans="2:20" ht="18">
      <c r="K20" s="1" t="s">
        <v>37</v>
      </c>
      <c r="M20" s="1" t="s">
        <v>48</v>
      </c>
      <c r="N20" s="9">
        <f>8.7*10^-6</f>
        <v>8.6999999999999997E-6</v>
      </c>
      <c r="O20" s="14">
        <f t="shared" si="0"/>
        <v>0.48333333333333328</v>
      </c>
      <c r="R20" s="1" t="s">
        <v>29</v>
      </c>
      <c r="T20" s="1">
        <v>2.09</v>
      </c>
    </row>
    <row r="21" spans="2:20">
      <c r="K21" s="1" t="s">
        <v>38</v>
      </c>
      <c r="M21" s="1" t="s">
        <v>49</v>
      </c>
      <c r="N21" s="9">
        <f>19.4*10^-6</f>
        <v>1.9399999999999997E-5</v>
      </c>
      <c r="O21" s="14">
        <f>N21/$N$17</f>
        <v>1.0777777777777775</v>
      </c>
    </row>
    <row r="22" spans="2:20" ht="18.75">
      <c r="K22" s="1" t="s">
        <v>39</v>
      </c>
      <c r="M22" s="1" t="s">
        <v>50</v>
      </c>
      <c r="N22" s="1" t="s">
        <v>57</v>
      </c>
      <c r="R22" s="1" t="s">
        <v>30</v>
      </c>
    </row>
    <row r="23" spans="2:20" ht="18.75">
      <c r="K23" s="1" t="s">
        <v>40</v>
      </c>
      <c r="M23" s="1" t="s">
        <v>51</v>
      </c>
      <c r="N23" s="1" t="s">
        <v>58</v>
      </c>
      <c r="O23" s="9"/>
      <c r="R23" s="1" t="s">
        <v>31</v>
      </c>
    </row>
    <row r="24" spans="2:20" ht="18.75">
      <c r="K24" s="1" t="s">
        <v>41</v>
      </c>
      <c r="M24" s="1" t="s">
        <v>52</v>
      </c>
      <c r="N24" s="1" t="s">
        <v>59</v>
      </c>
      <c r="O24" s="9"/>
    </row>
    <row r="25" spans="2:20" ht="18.75">
      <c r="K25" s="1" t="s">
        <v>42</v>
      </c>
      <c r="M25" s="1" t="s">
        <v>53</v>
      </c>
      <c r="N25" s="1" t="s">
        <v>60</v>
      </c>
      <c r="O25" s="9"/>
    </row>
    <row r="26" spans="2:20" ht="18.75">
      <c r="K26" s="1" t="s">
        <v>43</v>
      </c>
      <c r="M26" s="1" t="s">
        <v>54</v>
      </c>
      <c r="N26" s="1" t="s">
        <v>61</v>
      </c>
      <c r="O26" s="9"/>
    </row>
    <row r="27" spans="2:20" ht="17.25">
      <c r="K27" s="1" t="s">
        <v>36</v>
      </c>
      <c r="M27" s="1" t="s">
        <v>47</v>
      </c>
      <c r="N27" s="1" t="s">
        <v>56</v>
      </c>
      <c r="O27" s="9">
        <f>22*10^-6</f>
        <v>2.1999999999999999E-5</v>
      </c>
    </row>
    <row r="29" spans="2:20">
      <c r="H29" s="6" t="s">
        <v>18</v>
      </c>
      <c r="I29" s="6"/>
      <c r="J29" s="6"/>
      <c r="K29" s="6"/>
      <c r="L29" s="6"/>
    </row>
    <row r="30" spans="2:20">
      <c r="I30" s="1">
        <v>60</v>
      </c>
      <c r="J30" s="1" t="s">
        <v>13</v>
      </c>
    </row>
    <row r="31" spans="2:20">
      <c r="I31" s="1">
        <v>1.0129999999999999</v>
      </c>
      <c r="J31" s="7" t="s">
        <v>14</v>
      </c>
    </row>
    <row r="34" spans="2:14">
      <c r="H34" s="1">
        <v>1</v>
      </c>
      <c r="I34" s="1" t="s">
        <v>16</v>
      </c>
      <c r="J34" s="1">
        <v>1.0129999999999999</v>
      </c>
      <c r="K34" s="1" t="s">
        <v>19</v>
      </c>
    </row>
    <row r="35" spans="2:14">
      <c r="H35" s="1">
        <v>1</v>
      </c>
      <c r="I35" s="1" t="s">
        <v>17</v>
      </c>
      <c r="J35" s="1">
        <v>1.0129999999999999</v>
      </c>
      <c r="K35" s="1" t="s">
        <v>20</v>
      </c>
    </row>
    <row r="36" spans="2:14">
      <c r="H36" s="1">
        <v>1</v>
      </c>
      <c r="I36" s="1" t="s">
        <v>13</v>
      </c>
      <c r="J36" s="1">
        <f>J35</f>
        <v>1.0129999999999999</v>
      </c>
      <c r="K36" s="1" t="s">
        <v>21</v>
      </c>
    </row>
    <row r="37" spans="2:14">
      <c r="H37" s="1">
        <v>1</v>
      </c>
      <c r="I37" s="1" t="s">
        <v>13</v>
      </c>
      <c r="J37" s="1">
        <f>J36/60</f>
        <v>1.688333333333333E-2</v>
      </c>
      <c r="K37" s="1" t="s">
        <v>22</v>
      </c>
    </row>
    <row r="38" spans="2:14">
      <c r="H38" s="1">
        <v>60</v>
      </c>
      <c r="I38" s="1" t="s">
        <v>13</v>
      </c>
      <c r="J38" s="1">
        <f>J37*60</f>
        <v>1.0129999999999999</v>
      </c>
      <c r="K38" s="1" t="s">
        <v>22</v>
      </c>
    </row>
    <row r="39" spans="2:14">
      <c r="C39" s="6" t="s">
        <v>72</v>
      </c>
      <c r="E39" s="6" t="s">
        <v>73</v>
      </c>
      <c r="H39" s="5" t="s">
        <v>110</v>
      </c>
    </row>
    <row r="40" spans="2:14">
      <c r="B40" s="1" t="s">
        <v>114</v>
      </c>
      <c r="C40" s="8">
        <v>4.4470000000000001</v>
      </c>
      <c r="D40" s="1" t="s">
        <v>116</v>
      </c>
      <c r="E40" s="8">
        <v>15</v>
      </c>
      <c r="H40" s="6"/>
    </row>
    <row r="41" spans="2:14">
      <c r="B41" s="1" t="s">
        <v>117</v>
      </c>
      <c r="C41" s="8">
        <v>1</v>
      </c>
      <c r="D41" s="1" t="s">
        <v>115</v>
      </c>
      <c r="E41" s="8">
        <v>1</v>
      </c>
      <c r="N41" s="1" t="s">
        <v>112</v>
      </c>
    </row>
    <row r="42" spans="2:14">
      <c r="B42" s="1" t="s">
        <v>15</v>
      </c>
      <c r="C42" s="33">
        <f>(E40^2-E41^2)/(C40^2-C41^2)</f>
        <v>11.93024492313487</v>
      </c>
      <c r="E42" s="5"/>
      <c r="K42"/>
    </row>
    <row r="43" spans="2:14" ht="15.75" thickBot="1"/>
    <row r="44" spans="2:14">
      <c r="C44" s="15" t="s">
        <v>11</v>
      </c>
      <c r="D44" s="16" t="s">
        <v>10</v>
      </c>
      <c r="E44" s="16" t="s">
        <v>9</v>
      </c>
      <c r="F44" s="17" t="s">
        <v>23</v>
      </c>
      <c r="H44" s="24" t="s">
        <v>14</v>
      </c>
      <c r="I44" s="25" t="s">
        <v>111</v>
      </c>
      <c r="J44" s="26"/>
      <c r="K44" s="25" t="s">
        <v>118</v>
      </c>
      <c r="L44" s="27"/>
    </row>
    <row r="45" spans="2:14">
      <c r="C45" s="18">
        <v>25</v>
      </c>
      <c r="D45" s="19">
        <v>1</v>
      </c>
      <c r="E45" s="19">
        <v>0.15</v>
      </c>
      <c r="F45" s="20">
        <v>1</v>
      </c>
      <c r="H45" s="28">
        <f t="shared" ref="H45:H56" si="1">E45/60*1.013</f>
        <v>2.5324999999999996E-3</v>
      </c>
      <c r="I45" s="29">
        <f t="shared" ref="I45:I56" si="2">H45/1.08</f>
        <v>2.3449074074074067E-3</v>
      </c>
      <c r="J45" s="19" t="s">
        <v>14</v>
      </c>
      <c r="K45" s="29">
        <f t="shared" ref="K45:K56" si="3">I45*$C$42</f>
        <v>2.7975319692443563E-2</v>
      </c>
      <c r="L45" s="20" t="s">
        <v>14</v>
      </c>
    </row>
    <row r="46" spans="2:14">
      <c r="C46" s="18">
        <v>38</v>
      </c>
      <c r="D46" s="19">
        <v>1.5</v>
      </c>
      <c r="E46" s="19">
        <v>0.3</v>
      </c>
      <c r="F46" s="20">
        <v>2</v>
      </c>
      <c r="H46" s="28">
        <f t="shared" si="1"/>
        <v>5.0649999999999992E-3</v>
      </c>
      <c r="I46" s="29">
        <f t="shared" si="2"/>
        <v>4.6898148148148133E-3</v>
      </c>
      <c r="J46" s="19" t="s">
        <v>14</v>
      </c>
      <c r="K46" s="29">
        <f t="shared" si="3"/>
        <v>5.5950639384887126E-2</v>
      </c>
      <c r="L46" s="20" t="s">
        <v>14</v>
      </c>
    </row>
    <row r="47" spans="2:14">
      <c r="C47" s="18">
        <v>51</v>
      </c>
      <c r="D47" s="19">
        <v>2</v>
      </c>
      <c r="E47" s="19">
        <v>0.15</v>
      </c>
      <c r="F47" s="20">
        <v>3</v>
      </c>
      <c r="H47" s="28">
        <f t="shared" si="1"/>
        <v>2.5324999999999996E-3</v>
      </c>
      <c r="I47" s="29">
        <f t="shared" si="2"/>
        <v>2.3449074074074067E-3</v>
      </c>
      <c r="J47" s="19" t="s">
        <v>14</v>
      </c>
      <c r="K47" s="29">
        <f t="shared" si="3"/>
        <v>2.7975319692443563E-2</v>
      </c>
      <c r="L47" s="20" t="s">
        <v>14</v>
      </c>
    </row>
    <row r="48" spans="2:14">
      <c r="C48" s="18">
        <v>64</v>
      </c>
      <c r="D48" s="19">
        <v>2.5</v>
      </c>
      <c r="E48" s="19">
        <v>0.6</v>
      </c>
      <c r="F48" s="20">
        <v>4</v>
      </c>
      <c r="H48" s="28">
        <f t="shared" si="1"/>
        <v>1.0129999999999998E-2</v>
      </c>
      <c r="I48" s="29">
        <f t="shared" si="2"/>
        <v>9.3796296296296267E-3</v>
      </c>
      <c r="J48" s="19" t="s">
        <v>14</v>
      </c>
      <c r="K48" s="29">
        <f t="shared" si="3"/>
        <v>0.11190127876977425</v>
      </c>
      <c r="L48" s="20" t="s">
        <v>14</v>
      </c>
    </row>
    <row r="49" spans="3:12">
      <c r="C49" s="18">
        <v>76</v>
      </c>
      <c r="D49" s="19">
        <v>3</v>
      </c>
      <c r="E49" s="19">
        <v>0.9</v>
      </c>
      <c r="F49" s="20">
        <v>6</v>
      </c>
      <c r="G49" s="32" t="s">
        <v>113</v>
      </c>
      <c r="H49" s="28">
        <f t="shared" si="1"/>
        <v>1.5195E-2</v>
      </c>
      <c r="I49" s="29">
        <f t="shared" si="2"/>
        <v>1.4069444444444443E-2</v>
      </c>
      <c r="J49" s="19" t="s">
        <v>14</v>
      </c>
      <c r="K49" s="29">
        <f t="shared" si="3"/>
        <v>0.16785191815466141</v>
      </c>
      <c r="L49" s="20" t="s">
        <v>14</v>
      </c>
    </row>
    <row r="50" spans="3:12">
      <c r="C50" s="18">
        <v>10</v>
      </c>
      <c r="D50" s="19">
        <v>4</v>
      </c>
      <c r="E50" s="19">
        <v>1.7</v>
      </c>
      <c r="F50" s="20">
        <v>11</v>
      </c>
      <c r="H50" s="28">
        <f t="shared" si="1"/>
        <v>2.8701666666666664E-2</v>
      </c>
      <c r="I50" s="29">
        <f t="shared" si="2"/>
        <v>2.6575617283950612E-2</v>
      </c>
      <c r="J50" s="19" t="s">
        <v>14</v>
      </c>
      <c r="K50" s="29">
        <f t="shared" si="3"/>
        <v>0.31705362318102709</v>
      </c>
      <c r="L50" s="20" t="s">
        <v>14</v>
      </c>
    </row>
    <row r="51" spans="3:12">
      <c r="C51" s="18">
        <v>152</v>
      </c>
      <c r="D51" s="19">
        <v>6</v>
      </c>
      <c r="E51" s="19">
        <v>4</v>
      </c>
      <c r="F51" s="20">
        <v>27</v>
      </c>
      <c r="H51" s="28">
        <f t="shared" si="1"/>
        <v>6.753333333333332E-2</v>
      </c>
      <c r="I51" s="29">
        <f t="shared" si="2"/>
        <v>6.2530864197530844E-2</v>
      </c>
      <c r="J51" s="19" t="s">
        <v>14</v>
      </c>
      <c r="K51" s="29">
        <f t="shared" si="3"/>
        <v>0.74600852513182836</v>
      </c>
      <c r="L51" s="20" t="s">
        <v>14</v>
      </c>
    </row>
    <row r="52" spans="3:12">
      <c r="C52" s="18">
        <v>203</v>
      </c>
      <c r="D52" s="19">
        <v>8</v>
      </c>
      <c r="E52" s="19">
        <v>6.75</v>
      </c>
      <c r="F52" s="20">
        <v>45</v>
      </c>
      <c r="H52" s="28">
        <f t="shared" si="1"/>
        <v>0.11396249999999999</v>
      </c>
      <c r="I52" s="29">
        <f t="shared" si="2"/>
        <v>0.10552083333333333</v>
      </c>
      <c r="J52" s="19" t="s">
        <v>14</v>
      </c>
      <c r="K52" s="29">
        <f t="shared" si="3"/>
        <v>1.2588893861599606</v>
      </c>
      <c r="L52" s="20" t="s">
        <v>14</v>
      </c>
    </row>
    <row r="53" spans="3:12">
      <c r="C53" s="18">
        <v>250</v>
      </c>
      <c r="D53" s="19">
        <v>10</v>
      </c>
      <c r="E53" s="19">
        <v>11.1</v>
      </c>
      <c r="F53" s="20"/>
      <c r="H53" s="28">
        <f t="shared" si="1"/>
        <v>0.18740499999999999</v>
      </c>
      <c r="I53" s="29">
        <f t="shared" si="2"/>
        <v>0.17352314814814812</v>
      </c>
      <c r="J53" s="19" t="s">
        <v>14</v>
      </c>
      <c r="K53" s="29">
        <f t="shared" si="3"/>
        <v>2.070173657240824</v>
      </c>
      <c r="L53" s="20" t="s">
        <v>14</v>
      </c>
    </row>
    <row r="54" spans="3:12">
      <c r="C54" s="18">
        <v>300</v>
      </c>
      <c r="D54" s="19">
        <v>12</v>
      </c>
      <c r="E54" s="19">
        <v>16</v>
      </c>
      <c r="F54" s="20"/>
      <c r="H54" s="28">
        <f t="shared" si="1"/>
        <v>0.27013333333333328</v>
      </c>
      <c r="I54" s="29">
        <f t="shared" si="2"/>
        <v>0.25012345679012338</v>
      </c>
      <c r="J54" s="19" t="s">
        <v>14</v>
      </c>
      <c r="K54" s="29">
        <f t="shared" si="3"/>
        <v>2.9840341005273134</v>
      </c>
      <c r="L54" s="20" t="s">
        <v>14</v>
      </c>
    </row>
    <row r="55" spans="3:12">
      <c r="C55" s="18">
        <v>350</v>
      </c>
      <c r="D55" s="19">
        <v>14</v>
      </c>
      <c r="E55" s="19">
        <v>21.6</v>
      </c>
      <c r="F55" s="20"/>
      <c r="H55" s="28">
        <f t="shared" si="1"/>
        <v>0.36468</v>
      </c>
      <c r="I55" s="29">
        <f t="shared" si="2"/>
        <v>0.33766666666666667</v>
      </c>
      <c r="J55" s="19" t="s">
        <v>14</v>
      </c>
      <c r="K55" s="29">
        <f t="shared" si="3"/>
        <v>4.0284460357118741</v>
      </c>
      <c r="L55" s="20" t="s">
        <v>14</v>
      </c>
    </row>
    <row r="56" spans="3:12" ht="15.75" thickBot="1">
      <c r="C56" s="21">
        <v>400</v>
      </c>
      <c r="D56" s="22">
        <v>16</v>
      </c>
      <c r="E56" s="22">
        <v>28.4</v>
      </c>
      <c r="F56" s="23"/>
      <c r="H56" s="30">
        <f t="shared" si="1"/>
        <v>0.47948666666666662</v>
      </c>
      <c r="I56" s="31">
        <f t="shared" si="2"/>
        <v>0.44396913580246905</v>
      </c>
      <c r="J56" s="22" t="s">
        <v>14</v>
      </c>
      <c r="K56" s="31">
        <f t="shared" si="3"/>
        <v>5.2966605284359822</v>
      </c>
      <c r="L56" s="23" t="s">
        <v>14</v>
      </c>
    </row>
    <row r="57" spans="3:12">
      <c r="C57" s="6" t="s">
        <v>119</v>
      </c>
    </row>
    <row r="58" spans="3:12">
      <c r="C58" s="6" t="s">
        <v>120</v>
      </c>
    </row>
    <row r="61" spans="3:12">
      <c r="I61" s="5"/>
    </row>
    <row r="72" spans="6:9">
      <c r="F72" s="1">
        <f>1*10^-4</f>
        <v>1E-4</v>
      </c>
      <c r="H72" s="1">
        <f t="shared" ref="H72:H73" si="4">F72*1.08</f>
        <v>1.0800000000000001E-4</v>
      </c>
      <c r="I72" s="1">
        <f>F72*2.7</f>
        <v>2.7000000000000006E-4</v>
      </c>
    </row>
    <row r="73" spans="6:9">
      <c r="F73" s="1">
        <f>5*10^-4</f>
        <v>5.0000000000000001E-4</v>
      </c>
      <c r="H73" s="1">
        <f t="shared" si="4"/>
        <v>5.4000000000000001E-4</v>
      </c>
      <c r="I73" s="1">
        <f t="shared" ref="I73:I74" si="5">F73*2.7</f>
        <v>1.3500000000000001E-3</v>
      </c>
    </row>
    <row r="74" spans="6:9">
      <c r="F74" s="1">
        <f>1*10^-3</f>
        <v>1E-3</v>
      </c>
      <c r="H74" s="1">
        <f>F74*1.08</f>
        <v>1.08E-3</v>
      </c>
      <c r="I74" s="1">
        <f t="shared" si="5"/>
        <v>2.7000000000000001E-3</v>
      </c>
    </row>
  </sheetData>
  <hyperlinks>
    <hyperlink ref="O5" r:id="rId1" tooltip="Molécule" display="http://fr.wikipedia.org/wiki/Mol%C3%A9cule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4:Q37"/>
  <sheetViews>
    <sheetView topLeftCell="A16" workbookViewId="0">
      <selection activeCell="H11" sqref="H11"/>
    </sheetView>
  </sheetViews>
  <sheetFormatPr defaultColWidth="11.42578125" defaultRowHeight="15"/>
  <cols>
    <col min="13" max="16" width="8.140625" customWidth="1"/>
    <col min="17" max="17" width="6.140625" customWidth="1"/>
  </cols>
  <sheetData>
    <row r="4" spans="13:17">
      <c r="M4" s="4" t="s">
        <v>132</v>
      </c>
      <c r="N4" s="4" t="s">
        <v>133</v>
      </c>
      <c r="O4" s="4" t="s">
        <v>134</v>
      </c>
      <c r="P4" s="4" t="s">
        <v>135</v>
      </c>
    </row>
    <row r="5" spans="13:17">
      <c r="M5">
        <f>219.1-2.3</f>
        <v>216.79999999999998</v>
      </c>
      <c r="N5" s="34">
        <f t="shared" ref="N5:N10" si="0">(M5/2)^2*PI()*10^-6</f>
        <v>3.6915472971566068E-2</v>
      </c>
      <c r="O5">
        <f>1393-108</f>
        <v>1285</v>
      </c>
      <c r="P5" s="35">
        <f>N5*O5</f>
        <v>47.436382768462401</v>
      </c>
      <c r="Q5" t="s">
        <v>16</v>
      </c>
    </row>
    <row r="6" spans="13:17">
      <c r="M6">
        <f>219.1-2.3</f>
        <v>216.79999999999998</v>
      </c>
      <c r="N6" s="34">
        <f t="shared" si="0"/>
        <v>3.6915472971566068E-2</v>
      </c>
      <c r="O6">
        <f>1108-108</f>
        <v>1000</v>
      </c>
      <c r="P6" s="35">
        <f>N6*O6</f>
        <v>36.915472971566068</v>
      </c>
      <c r="Q6" t="s">
        <v>16</v>
      </c>
    </row>
    <row r="7" spans="13:17">
      <c r="M7">
        <v>60.3</v>
      </c>
      <c r="N7" s="34">
        <f t="shared" si="0"/>
        <v>2.8557784079478272E-3</v>
      </c>
      <c r="O7">
        <v>500</v>
      </c>
      <c r="P7" s="35">
        <f>N7*O7</f>
        <v>1.4278892039739135</v>
      </c>
      <c r="Q7" t="s">
        <v>16</v>
      </c>
    </row>
    <row r="8" spans="13:17">
      <c r="M8">
        <v>60.3</v>
      </c>
      <c r="N8" s="34">
        <f t="shared" si="0"/>
        <v>2.8557784079478272E-3</v>
      </c>
      <c r="O8">
        <v>300</v>
      </c>
      <c r="P8" s="35">
        <f>N8*O8</f>
        <v>0.85673352238434819</v>
      </c>
      <c r="Q8" t="s">
        <v>16</v>
      </c>
    </row>
    <row r="9" spans="13:17">
      <c r="M9">
        <v>60.3</v>
      </c>
      <c r="N9" s="34">
        <f t="shared" si="0"/>
        <v>2.8557784079478272E-3</v>
      </c>
      <c r="O9">
        <v>537</v>
      </c>
      <c r="P9" s="35">
        <f t="shared" ref="P9:P10" si="1">N9*O9</f>
        <v>1.5335530050679833</v>
      </c>
      <c r="Q9" t="s">
        <v>16</v>
      </c>
    </row>
    <row r="10" spans="13:17">
      <c r="M10">
        <v>60.3</v>
      </c>
      <c r="N10" s="34">
        <f t="shared" si="0"/>
        <v>2.8557784079478272E-3</v>
      </c>
      <c r="O10">
        <v>600</v>
      </c>
      <c r="P10" s="35">
        <f t="shared" si="1"/>
        <v>1.7134670447686964</v>
      </c>
      <c r="Q10" t="s">
        <v>16</v>
      </c>
    </row>
    <row r="11" spans="13:17">
      <c r="P11" s="36">
        <f>SUM(P5:P10)</f>
        <v>89.883498516223412</v>
      </c>
      <c r="Q11" t="s">
        <v>16</v>
      </c>
    </row>
    <row r="13" spans="13:17">
      <c r="P13">
        <f>SUM(P9:P10)</f>
        <v>3.2470200498366797</v>
      </c>
    </row>
    <row r="16" spans="13:17">
      <c r="N16" t="s">
        <v>124</v>
      </c>
      <c r="P16">
        <v>90</v>
      </c>
    </row>
    <row r="20" spans="14:17">
      <c r="N20" s="4" t="s">
        <v>122</v>
      </c>
      <c r="O20" s="4"/>
      <c r="P20" s="4">
        <v>1700</v>
      </c>
      <c r="Q20" s="4" t="s">
        <v>123</v>
      </c>
    </row>
    <row r="21" spans="14:17">
      <c r="N21" s="4" t="s">
        <v>125</v>
      </c>
      <c r="O21" s="4"/>
      <c r="P21" s="4">
        <v>4</v>
      </c>
      <c r="Q21" s="4" t="s">
        <v>126</v>
      </c>
    </row>
    <row r="22" spans="14:17">
      <c r="N22" s="4"/>
      <c r="O22" s="4"/>
      <c r="P22" s="4">
        <f>P20*P16/(P21*3600)</f>
        <v>10.625</v>
      </c>
      <c r="Q22" s="4" t="s">
        <v>127</v>
      </c>
    </row>
    <row r="25" spans="14:17">
      <c r="N25" t="s">
        <v>128</v>
      </c>
      <c r="P25">
        <v>9</v>
      </c>
      <c r="Q25" s="4" t="s">
        <v>129</v>
      </c>
    </row>
    <row r="26" spans="14:17">
      <c r="N26" t="s">
        <v>122</v>
      </c>
      <c r="P26">
        <v>7000</v>
      </c>
      <c r="Q26" s="4" t="s">
        <v>123</v>
      </c>
    </row>
    <row r="27" spans="14:17">
      <c r="P27">
        <f>P26*P25*1000/P22/3600</f>
        <v>1647.0588235294117</v>
      </c>
      <c r="Q27" s="4" t="s">
        <v>130</v>
      </c>
    </row>
    <row r="28" spans="14:17">
      <c r="P28">
        <f>P27/24</f>
        <v>68.627450980392155</v>
      </c>
      <c r="Q28" s="4" t="s">
        <v>131</v>
      </c>
    </row>
    <row r="34" spans="2:16">
      <c r="P34">
        <f>SUM(P7:P8)</f>
        <v>2.2846227263582617</v>
      </c>
    </row>
    <row r="37" spans="2:16">
      <c r="B37" t="s">
        <v>121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C8:G17"/>
  <sheetViews>
    <sheetView workbookViewId="0">
      <selection activeCell="E36" sqref="E36"/>
    </sheetView>
  </sheetViews>
  <sheetFormatPr defaultRowHeight="15"/>
  <cols>
    <col min="1" max="16384" width="9.140625" style="1"/>
  </cols>
  <sheetData>
    <row r="8" spans="3:7">
      <c r="E8" s="1" t="s">
        <v>2</v>
      </c>
    </row>
    <row r="9" spans="3:7">
      <c r="D9" s="1" t="s">
        <v>0</v>
      </c>
      <c r="E9" s="1">
        <v>309.5</v>
      </c>
      <c r="F9" s="1">
        <v>120</v>
      </c>
      <c r="G9" s="1">
        <f>PI()*(E9/2000)^2*F9</f>
        <v>9.0280183705658903</v>
      </c>
    </row>
    <row r="11" spans="3:7">
      <c r="D11" s="1" t="s">
        <v>1</v>
      </c>
      <c r="E11" s="1">
        <v>158.19999999999999</v>
      </c>
      <c r="F11" s="1">
        <v>120</v>
      </c>
      <c r="G11" s="1">
        <f>PI()*(E11/2000)^2*F11</f>
        <v>2.3587617997088577</v>
      </c>
    </row>
    <row r="12" spans="3:7">
      <c r="D12" s="1" t="s">
        <v>1</v>
      </c>
      <c r="E12" s="1">
        <v>158.19999999999999</v>
      </c>
      <c r="F12" s="1">
        <v>10</v>
      </c>
      <c r="G12" s="1">
        <f>PI()*(E12/2000)^2*F12</f>
        <v>0.19656348330907147</v>
      </c>
    </row>
    <row r="13" spans="3:7">
      <c r="C13" s="1" t="s">
        <v>4</v>
      </c>
      <c r="D13" s="1" t="s">
        <v>3</v>
      </c>
      <c r="G13" s="1">
        <v>1.4</v>
      </c>
    </row>
    <row r="14" spans="3:7">
      <c r="C14" s="1" t="s">
        <v>5</v>
      </c>
      <c r="D14" s="1" t="s">
        <v>6</v>
      </c>
      <c r="G14" s="1">
        <v>3.9</v>
      </c>
    </row>
    <row r="15" spans="3:7">
      <c r="D15" s="1" t="s">
        <v>7</v>
      </c>
      <c r="G15" s="1">
        <f>0.24*3</f>
        <v>0.72</v>
      </c>
    </row>
    <row r="16" spans="3:7">
      <c r="C16" s="1" t="s">
        <v>8</v>
      </c>
      <c r="G16" s="1">
        <f>0.12*8</f>
        <v>0.96</v>
      </c>
    </row>
    <row r="17" spans="7:7">
      <c r="G17" s="1">
        <f>SUM(G11:G16)</f>
        <v>9.5353252830179294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C6:M16"/>
  <sheetViews>
    <sheetView tabSelected="1" workbookViewId="0">
      <selection activeCell="J10" sqref="J10"/>
    </sheetView>
  </sheetViews>
  <sheetFormatPr defaultRowHeight="15"/>
  <sheetData>
    <row r="6" spans="3:13">
      <c r="C6" s="1"/>
      <c r="D6" s="6" t="s">
        <v>18</v>
      </c>
      <c r="E6" s="6"/>
      <c r="F6" s="6"/>
      <c r="G6" s="6"/>
    </row>
    <row r="7" spans="3:13">
      <c r="C7" s="1"/>
      <c r="D7" s="1"/>
      <c r="E7" s="1">
        <v>60</v>
      </c>
      <c r="F7" s="1" t="s">
        <v>13</v>
      </c>
      <c r="G7" s="1"/>
    </row>
    <row r="8" spans="3:13">
      <c r="C8" s="1"/>
      <c r="D8" s="1"/>
      <c r="E8" s="1">
        <v>1.0129999999999999</v>
      </c>
      <c r="F8" s="7" t="s">
        <v>14</v>
      </c>
      <c r="G8" s="1"/>
    </row>
    <row r="9" spans="3:13">
      <c r="C9" s="1"/>
      <c r="D9" s="1"/>
      <c r="E9" s="1"/>
      <c r="F9" s="1"/>
      <c r="G9" s="1"/>
    </row>
    <row r="10" spans="3:13">
      <c r="C10" s="1"/>
      <c r="D10" s="1"/>
      <c r="E10" s="1"/>
      <c r="F10" s="1"/>
      <c r="G10" s="1"/>
    </row>
    <row r="11" spans="3:13">
      <c r="C11" s="1"/>
      <c r="D11" s="1">
        <v>1</v>
      </c>
      <c r="E11" s="1" t="s">
        <v>16</v>
      </c>
      <c r="F11" s="1">
        <v>1.0129999999999999</v>
      </c>
      <c r="G11" s="1" t="s">
        <v>19</v>
      </c>
      <c r="L11">
        <v>0.5</v>
      </c>
      <c r="M11" t="s">
        <v>136</v>
      </c>
    </row>
    <row r="12" spans="3:13">
      <c r="C12" s="1"/>
      <c r="D12" s="1">
        <v>1</v>
      </c>
      <c r="E12" s="1" t="s">
        <v>17</v>
      </c>
      <c r="F12" s="1">
        <v>1.0129999999999999</v>
      </c>
      <c r="G12" s="1" t="s">
        <v>20</v>
      </c>
      <c r="L12">
        <f>L11*1000/24</f>
        <v>20.833333333333332</v>
      </c>
      <c r="M12" t="s">
        <v>137</v>
      </c>
    </row>
    <row r="13" spans="3:13">
      <c r="C13" s="1"/>
      <c r="D13" s="1">
        <v>1</v>
      </c>
      <c r="E13" s="1" t="s">
        <v>13</v>
      </c>
      <c r="F13" s="1">
        <f>F12</f>
        <v>1.0129999999999999</v>
      </c>
      <c r="G13" s="1" t="s">
        <v>21</v>
      </c>
      <c r="L13">
        <f>L12/3600</f>
        <v>5.7870370370370367E-3</v>
      </c>
      <c r="M13" t="s">
        <v>138</v>
      </c>
    </row>
    <row r="14" spans="3:13">
      <c r="C14" s="1"/>
      <c r="D14" s="1">
        <v>1</v>
      </c>
      <c r="E14" s="1" t="s">
        <v>13</v>
      </c>
      <c r="F14" s="1">
        <f>F13/60</f>
        <v>1.688333333333333E-2</v>
      </c>
      <c r="G14" s="1" t="s">
        <v>22</v>
      </c>
      <c r="L14">
        <f>L13*1000</f>
        <v>5.7870370370370363</v>
      </c>
      <c r="M14" t="s">
        <v>139</v>
      </c>
    </row>
    <row r="15" spans="3:13">
      <c r="C15" s="1"/>
      <c r="D15" s="1">
        <v>60</v>
      </c>
      <c r="E15" s="1" t="s">
        <v>13</v>
      </c>
      <c r="F15" s="1">
        <f>F14*60</f>
        <v>1.0129999999999999</v>
      </c>
      <c r="G15" s="1" t="s">
        <v>22</v>
      </c>
      <c r="L15">
        <f>L14*1.013</f>
        <v>5.8622685185185173</v>
      </c>
      <c r="M15" t="s">
        <v>140</v>
      </c>
    </row>
    <row r="16" spans="3:13">
      <c r="C16" s="1"/>
      <c r="D16" s="5" t="s">
        <v>110</v>
      </c>
      <c r="E16" s="1"/>
      <c r="F16" s="1"/>
      <c r="G1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Feuil1</vt:lpstr>
      <vt:lpstr>Sheet1</vt:lpstr>
      <vt:lpstr>Sheet3</vt:lpstr>
    </vt:vector>
  </TitlesOfParts>
  <Company>Air Liquide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Heloin</dc:creator>
  <cp:lastModifiedBy>Vincent Heloin : ALFR-0062659-L</cp:lastModifiedBy>
  <dcterms:created xsi:type="dcterms:W3CDTF">2014-11-17T10:14:32Z</dcterms:created>
  <dcterms:modified xsi:type="dcterms:W3CDTF">2015-07-10T13:48:29Z</dcterms:modified>
</cp:coreProperties>
</file>