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20535" windowHeight="4035"/>
  </bookViews>
  <sheets>
    <sheet name="Feuil1" sheetId="1" r:id="rId1"/>
  </sheets>
  <externalReferences>
    <externalReference r:id="rId2"/>
  </externalReferences>
  <definedNames>
    <definedName name="_ALmargin">Feuil1!$A$1</definedName>
    <definedName name="_Flow">Feuil1!$E:$E</definedName>
    <definedName name="_FlowAL">Feuil1!$F:$F</definedName>
    <definedName name="_hr">Feuil1!$L:$L</definedName>
    <definedName name="_hs">Feuil1!$I:$I</definedName>
    <definedName name="_Power">Feuil1!$C:$C</definedName>
    <definedName name="_PowerAL">Feuil1!$D:$D</definedName>
    <definedName name="_pr">Feuil1!$K:$K</definedName>
    <definedName name="_ps">Feuil1!$H:$H</definedName>
    <definedName name="_Tr">Feuil1!$J:$J</definedName>
    <definedName name="_Ts">Feuil1!$G:$G</definedName>
    <definedName name="_xlnm.Print_Area" localSheetId="0">Feuil1!#REF!</definedName>
  </definedNames>
  <calcPr calcId="125725"/>
</workbook>
</file>

<file path=xl/calcChain.xml><?xml version="1.0" encoding="utf-8"?>
<calcChain xmlns="http://schemas.openxmlformats.org/spreadsheetml/2006/main">
  <c r="N35" i="1"/>
  <c r="C51"/>
  <c r="C35"/>
  <c r="N52"/>
  <c r="E52"/>
  <c r="P51"/>
  <c r="Q51"/>
  <c r="L52"/>
  <c r="I52"/>
  <c r="Q52"/>
  <c r="P52"/>
  <c r="R52" l="1"/>
  <c r="C52"/>
  <c r="D52" s="1"/>
  <c r="F52"/>
  <c r="S52" s="1"/>
  <c r="N51"/>
  <c r="D51"/>
  <c r="P50"/>
  <c r="L51"/>
  <c r="I51"/>
  <c r="E51" l="1"/>
  <c r="R51" s="1"/>
  <c r="J50"/>
  <c r="I50"/>
  <c r="Q50"/>
  <c r="L50"/>
  <c r="F51" l="1"/>
  <c r="S51" s="1"/>
  <c r="N50"/>
  <c r="C50"/>
  <c r="D50" s="1"/>
  <c r="Q44"/>
  <c r="P44"/>
  <c r="E50" l="1"/>
  <c r="N44"/>
  <c r="L44"/>
  <c r="I44"/>
  <c r="R44" l="1"/>
  <c r="T44" s="1"/>
  <c r="R50"/>
  <c r="F50"/>
  <c r="S50" s="1"/>
  <c r="F44"/>
  <c r="S44" s="1"/>
  <c r="C44"/>
  <c r="D44" s="1"/>
  <c r="Q43"/>
  <c r="P43"/>
  <c r="R53" l="1"/>
  <c r="A50" s="1"/>
  <c r="R54"/>
  <c r="N53" a="1"/>
  <c r="N53" s="1"/>
  <c r="S54"/>
  <c r="S53"/>
  <c r="N43"/>
  <c r="L43"/>
  <c r="I43"/>
  <c r="A51" l="1"/>
  <c r="A52"/>
  <c r="E43"/>
  <c r="R43" s="1"/>
  <c r="D43"/>
  <c r="Q42"/>
  <c r="P42"/>
  <c r="F43" l="1"/>
  <c r="S43" s="1"/>
  <c r="T43"/>
  <c r="N42"/>
  <c r="I42"/>
  <c r="L42"/>
  <c r="N45" l="1" a="1"/>
  <c r="E42"/>
  <c r="R42" s="1"/>
  <c r="D42"/>
  <c r="P36"/>
  <c r="Q36"/>
  <c r="N45" l="1"/>
  <c r="T42"/>
  <c r="R46"/>
  <c r="F42"/>
  <c r="S42" s="1"/>
  <c r="S46" s="1"/>
  <c r="R45"/>
  <c r="N36"/>
  <c r="I36"/>
  <c r="L36"/>
  <c r="A44" l="1"/>
  <c r="A43"/>
  <c r="A42"/>
  <c r="S45"/>
  <c r="E36"/>
  <c r="R36" s="1"/>
  <c r="Q35"/>
  <c r="P35"/>
  <c r="F36" l="1"/>
  <c r="S36" s="1"/>
  <c r="C36"/>
  <c r="D36" s="1"/>
  <c r="D35"/>
  <c r="I35"/>
  <c r="P34"/>
  <c r="L35"/>
  <c r="E35" l="1"/>
  <c r="R35" s="1"/>
  <c r="J34"/>
  <c r="L34"/>
  <c r="I34"/>
  <c r="Q34"/>
  <c r="F35" l="1"/>
  <c r="S35" s="1"/>
  <c r="N34"/>
  <c r="C34"/>
  <c r="D34" s="1"/>
  <c r="P31"/>
  <c r="E24"/>
  <c r="C22"/>
  <c r="C6"/>
  <c r="E8"/>
  <c r="N24"/>
  <c r="Q24"/>
  <c r="L24"/>
  <c r="P24"/>
  <c r="I24"/>
  <c r="E34" l="1"/>
  <c r="R24"/>
  <c r="F24"/>
  <c r="S24" s="1"/>
  <c r="C24"/>
  <c r="D24" s="1"/>
  <c r="N23"/>
  <c r="D23"/>
  <c r="P23"/>
  <c r="I23"/>
  <c r="P22"/>
  <c r="L23"/>
  <c r="Q23"/>
  <c r="R34" l="1"/>
  <c r="F34"/>
  <c r="S34" s="1"/>
  <c r="E23"/>
  <c r="J22"/>
  <c r="I22"/>
  <c r="Q22"/>
  <c r="R38" l="1"/>
  <c r="R37"/>
  <c r="A34" s="1"/>
  <c r="N37" a="1"/>
  <c r="N37" s="1"/>
  <c r="S38"/>
  <c r="S37"/>
  <c r="R23"/>
  <c r="F23"/>
  <c r="S23" s="1"/>
  <c r="N22"/>
  <c r="N25" s="1" a="1"/>
  <c r="D22"/>
  <c r="L22"/>
  <c r="P16"/>
  <c r="Q16"/>
  <c r="E22" l="1"/>
  <c r="R22" s="1"/>
  <c r="R25" s="1"/>
  <c r="A36"/>
  <c r="A35"/>
  <c r="N16"/>
  <c r="L16"/>
  <c r="I16"/>
  <c r="F22" l="1"/>
  <c r="S22" s="1"/>
  <c r="S25" s="1"/>
  <c r="R26"/>
  <c r="N25"/>
  <c r="A24"/>
  <c r="A23"/>
  <c r="A22"/>
  <c r="R16"/>
  <c r="F16"/>
  <c r="S16" s="1"/>
  <c r="C16"/>
  <c r="D16" s="1"/>
  <c r="N15"/>
  <c r="D15"/>
  <c r="P15"/>
  <c r="L15"/>
  <c r="Q15"/>
  <c r="I15"/>
  <c r="P14"/>
  <c r="S26" l="1"/>
  <c r="E15"/>
  <c r="R15" s="1"/>
  <c r="I14"/>
  <c r="Q14"/>
  <c r="L14"/>
  <c r="F15" l="1"/>
  <c r="S15" s="1"/>
  <c r="N14"/>
  <c r="E14"/>
  <c r="R14" s="1"/>
  <c r="D14"/>
  <c r="N7"/>
  <c r="J6"/>
  <c r="P7"/>
  <c r="I7"/>
  <c r="Q7"/>
  <c r="L7"/>
  <c r="R18" l="1"/>
  <c r="R17"/>
  <c r="N17" a="1"/>
  <c r="N17" s="1"/>
  <c r="F14"/>
  <c r="S14" s="1"/>
  <c r="S18" s="1"/>
  <c r="E7"/>
  <c r="R7" s="1"/>
  <c r="N8"/>
  <c r="N6"/>
  <c r="P3"/>
  <c r="Q8"/>
  <c r="Q6"/>
  <c r="P8"/>
  <c r="P6"/>
  <c r="A14" l="1"/>
  <c r="A16"/>
  <c r="A15"/>
  <c r="S17"/>
  <c r="F7"/>
  <c r="S7" l="1"/>
  <c r="F8"/>
  <c r="L8"/>
  <c r="I8"/>
  <c r="D7" l="1"/>
  <c r="S8"/>
  <c r="R8"/>
  <c r="C8"/>
  <c r="D8" l="1"/>
  <c r="I6"/>
  <c r="L6"/>
  <c r="N9" l="1" a="1"/>
  <c r="D6" l="1"/>
  <c r="E6"/>
  <c r="R6" s="1"/>
  <c r="R10" l="1"/>
  <c r="R9"/>
  <c r="A6" s="1"/>
  <c r="N9"/>
  <c r="F6"/>
  <c r="S6" s="1"/>
  <c r="S10" l="1"/>
  <c r="S9"/>
  <c r="A7"/>
  <c r="A8"/>
</calcChain>
</file>

<file path=xl/sharedStrings.xml><?xml version="1.0" encoding="utf-8"?>
<sst xmlns="http://schemas.openxmlformats.org/spreadsheetml/2006/main" count="174" uniqueCount="27">
  <si>
    <t>Power</t>
  </si>
  <si>
    <t>Spec</t>
  </si>
  <si>
    <t>with margin</t>
  </si>
  <si>
    <t>Flow</t>
  </si>
  <si>
    <t>Temperature</t>
  </si>
  <si>
    <t>Pressure</t>
  </si>
  <si>
    <t>Enthalpy</t>
  </si>
  <si>
    <t>Supply</t>
  </si>
  <si>
    <t>Return</t>
  </si>
  <si>
    <t>AL-AT Process margin</t>
  </si>
  <si>
    <t>Supply s</t>
  </si>
  <si>
    <t>Return s</t>
  </si>
  <si>
    <t>Exergy</t>
  </si>
  <si>
    <t>Tref</t>
  </si>
  <si>
    <t>W/W</t>
  </si>
  <si>
    <t>Ex @ 4.5K</t>
  </si>
  <si>
    <t>Barycentric T</t>
  </si>
  <si>
    <t>Total</t>
  </si>
  <si>
    <t>4.5K Liquefaction</t>
  </si>
  <si>
    <t>4.5K Refrigeration</t>
  </si>
  <si>
    <t>Ex. Tot</t>
  </si>
  <si>
    <t>Thermal Shields</t>
  </si>
  <si>
    <t>28/04/2015       DTC Cryo</t>
  </si>
  <si>
    <t>% Exergie</t>
  </si>
  <si>
    <t>Cycle 5 kW</t>
  </si>
  <si>
    <t>Cycle 10 kW</t>
  </si>
  <si>
    <t>Cycle 25 kW</t>
  </si>
</sst>
</file>

<file path=xl/styles.xml><?xml version="1.0" encoding="utf-8"?>
<styleSheet xmlns="http://schemas.openxmlformats.org/spreadsheetml/2006/main">
  <numFmts count="11">
    <numFmt numFmtId="164" formatCode="#,##0.0&quot; g/s&quot;"/>
    <numFmt numFmtId="165" formatCode="#,##0.0&quot; K&quot;"/>
    <numFmt numFmtId="166" formatCode="#,##0.0&quot; bar&quot;"/>
    <numFmt numFmtId="167" formatCode="#,##0.0&quot; J/g&quot;"/>
    <numFmt numFmtId="168" formatCode="#,##0.0&quot; W&quot;"/>
    <numFmt numFmtId="169" formatCode="#,##0.000&quot; bar&quot;"/>
    <numFmt numFmtId="170" formatCode="#,##0.00&quot; J/g.K&quot;"/>
    <numFmt numFmtId="171" formatCode="#,##0&quot; W&quot;"/>
    <numFmt numFmtId="172" formatCode="#,##0.00&quot; K&quot;"/>
    <numFmt numFmtId="173" formatCode="0.0%"/>
    <numFmt numFmtId="174" formatCode="#,##0.0&quot; kW&quot;"/>
  </numFmts>
  <fonts count="7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vertical="center"/>
    </xf>
    <xf numFmtId="168" fontId="0" fillId="0" borderId="2" xfId="0" applyNumberFormat="1" applyBorder="1" applyAlignment="1">
      <alignment vertical="center"/>
    </xf>
    <xf numFmtId="167" fontId="0" fillId="0" borderId="2" xfId="0" applyNumberFormat="1" applyBorder="1" applyAlignment="1">
      <alignment vertical="center"/>
    </xf>
    <xf numFmtId="168" fontId="0" fillId="0" borderId="1" xfId="0" applyNumberFormat="1" applyBorder="1" applyAlignment="1">
      <alignment vertical="center"/>
    </xf>
    <xf numFmtId="167" fontId="0" fillId="0" borderId="1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8" fontId="0" fillId="0" borderId="7" xfId="0" applyNumberFormat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0" fillId="0" borderId="13" xfId="0" applyNumberFormat="1" applyBorder="1" applyAlignment="1">
      <alignment vertical="center"/>
    </xf>
    <xf numFmtId="164" fontId="0" fillId="0" borderId="15" xfId="0" applyNumberFormat="1" applyBorder="1" applyAlignment="1">
      <alignment vertical="center"/>
    </xf>
    <xf numFmtId="164" fontId="2" fillId="0" borderId="14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166" fontId="2" fillId="0" borderId="2" xfId="0" applyNumberFormat="1" applyFont="1" applyBorder="1" applyAlignment="1">
      <alignment vertical="center"/>
    </xf>
    <xf numFmtId="165" fontId="2" fillId="0" borderId="12" xfId="0" applyNumberFormat="1" applyFont="1" applyBorder="1" applyAlignment="1">
      <alignment vertical="center"/>
    </xf>
    <xf numFmtId="165" fontId="2" fillId="0" borderId="14" xfId="0" applyNumberFormat="1" applyFont="1" applyBorder="1" applyAlignment="1">
      <alignment vertical="center"/>
    </xf>
    <xf numFmtId="169" fontId="2" fillId="0" borderId="2" xfId="0" applyNumberFormat="1" applyFont="1" applyBorder="1" applyAlignment="1">
      <alignment vertical="center"/>
    </xf>
    <xf numFmtId="9" fontId="2" fillId="0" borderId="0" xfId="0" applyNumberFormat="1" applyFont="1" applyAlignment="1">
      <alignment horizontal="center" vertical="center"/>
    </xf>
    <xf numFmtId="170" fontId="0" fillId="0" borderId="0" xfId="0" applyNumberFormat="1" applyAlignment="1">
      <alignment vertical="center"/>
    </xf>
    <xf numFmtId="168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172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Border="1" applyAlignment="1">
      <alignment vertical="center"/>
    </xf>
    <xf numFmtId="164" fontId="0" fillId="0" borderId="12" xfId="0" applyNumberFormat="1" applyFont="1" applyBorder="1" applyAlignment="1">
      <alignment vertical="center"/>
    </xf>
    <xf numFmtId="168" fontId="5" fillId="0" borderId="6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173" fontId="6" fillId="0" borderId="0" xfId="1" applyNumberFormat="1" applyFont="1" applyAlignment="1">
      <alignment horizontal="center" vertical="center"/>
    </xf>
    <xf numFmtId="164" fontId="4" fillId="0" borderId="14" xfId="0" applyNumberFormat="1" applyFont="1" applyBorder="1" applyAlignment="1">
      <alignment vertical="center"/>
    </xf>
    <xf numFmtId="171" fontId="4" fillId="0" borderId="6" xfId="0" applyNumberFormat="1" applyFont="1" applyBorder="1" applyAlignment="1">
      <alignment vertical="center"/>
    </xf>
    <xf numFmtId="10" fontId="6" fillId="0" borderId="0" xfId="1" applyNumberFormat="1" applyFont="1" applyAlignment="1">
      <alignment horizontal="center" vertical="center"/>
    </xf>
    <xf numFmtId="174" fontId="0" fillId="0" borderId="0" xfId="0" applyNumberFormat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6" fillId="0" borderId="20" xfId="0" applyNumberFormat="1" applyFont="1" applyBorder="1" applyAlignment="1">
      <alignment horizontal="center" vertical="center" wrapText="1"/>
    </xf>
    <xf numFmtId="14" fontId="6" fillId="0" borderId="21" xfId="0" applyNumberFormat="1" applyFont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HePak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hecalc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>
    <pageSetUpPr fitToPage="1"/>
  </sheetPr>
  <dimension ref="A1:T54"/>
  <sheetViews>
    <sheetView showGridLines="0" tabSelected="1" zoomScale="70" zoomScaleNormal="70" zoomScaleSheetLayoutView="85" zoomScalePageLayoutView="85" workbookViewId="0">
      <selection activeCell="T26" sqref="A1:T26"/>
    </sheetView>
  </sheetViews>
  <sheetFormatPr baseColWidth="10" defaultRowHeight="15"/>
  <cols>
    <col min="1" max="1" width="14.5703125" style="1" customWidth="1"/>
    <col min="2" max="2" width="22" style="1" customWidth="1"/>
    <col min="3" max="3" width="14.140625" style="1" customWidth="1"/>
    <col min="4" max="12" width="13.140625" style="1" customWidth="1"/>
    <col min="13" max="13" width="6.28515625" style="1" customWidth="1"/>
    <col min="14" max="14" width="13.85546875" style="1" bestFit="1" customWidth="1"/>
    <col min="15" max="15" width="5.7109375" style="1" bestFit="1" customWidth="1"/>
    <col min="16" max="17" width="11.7109375" style="1" bestFit="1" customWidth="1"/>
    <col min="18" max="18" width="14.7109375" style="1" customWidth="1"/>
    <col min="19" max="19" width="15.140625" style="1" customWidth="1"/>
    <col min="20" max="16384" width="11.42578125" style="1"/>
  </cols>
  <sheetData>
    <row r="1" spans="1:19">
      <c r="A1" s="21">
        <v>0.05</v>
      </c>
      <c r="B1" s="1" t="s">
        <v>9</v>
      </c>
      <c r="O1" s="1" t="s">
        <v>13</v>
      </c>
      <c r="P1" s="1">
        <v>300</v>
      </c>
    </row>
    <row r="2" spans="1:19">
      <c r="A2" s="21"/>
    </row>
    <row r="3" spans="1:19">
      <c r="A3" s="30" t="s">
        <v>24</v>
      </c>
      <c r="O3" s="1" t="s">
        <v>14</v>
      </c>
      <c r="P3" s="26">
        <f>(P1-4.5)/4.5</f>
        <v>65.666666666666671</v>
      </c>
    </row>
    <row r="4" spans="1:19">
      <c r="A4" s="45" t="s">
        <v>23</v>
      </c>
      <c r="B4" s="42" t="s">
        <v>22</v>
      </c>
      <c r="C4" s="44" t="s">
        <v>0</v>
      </c>
      <c r="D4" s="41"/>
      <c r="E4" s="39" t="s">
        <v>3</v>
      </c>
      <c r="F4" s="40"/>
      <c r="G4" s="41" t="s">
        <v>7</v>
      </c>
      <c r="H4" s="41"/>
      <c r="I4" s="41"/>
      <c r="J4" s="39" t="s">
        <v>8</v>
      </c>
      <c r="K4" s="41"/>
      <c r="L4" s="41"/>
    </row>
    <row r="5" spans="1:19">
      <c r="A5" s="46"/>
      <c r="B5" s="43"/>
      <c r="C5" s="7" t="s">
        <v>1</v>
      </c>
      <c r="D5" s="6" t="s">
        <v>2</v>
      </c>
      <c r="E5" s="9" t="s">
        <v>1</v>
      </c>
      <c r="F5" s="10" t="s">
        <v>2</v>
      </c>
      <c r="G5" s="6" t="s">
        <v>4</v>
      </c>
      <c r="H5" s="6" t="s">
        <v>5</v>
      </c>
      <c r="I5" s="6" t="s">
        <v>6</v>
      </c>
      <c r="J5" s="9" t="s">
        <v>4</v>
      </c>
      <c r="K5" s="6" t="s">
        <v>5</v>
      </c>
      <c r="L5" s="6" t="s">
        <v>6</v>
      </c>
      <c r="N5" s="1" t="s">
        <v>16</v>
      </c>
      <c r="P5" s="1" t="s">
        <v>10</v>
      </c>
      <c r="Q5" s="1" t="s">
        <v>11</v>
      </c>
      <c r="R5" s="1" t="s">
        <v>12</v>
      </c>
      <c r="S5" s="1" t="s">
        <v>2</v>
      </c>
    </row>
    <row r="6" spans="1:19">
      <c r="A6" s="34">
        <f>R6/$R$9</f>
        <v>9.943343416487245E-2</v>
      </c>
      <c r="B6" s="32" t="s">
        <v>21</v>
      </c>
      <c r="C6" s="36">
        <f>C7/C15*C14</f>
        <v>6250</v>
      </c>
      <c r="D6" s="4">
        <f>_Power*(1+_ALmargin)</f>
        <v>6562.5</v>
      </c>
      <c r="E6" s="28">
        <f>C6/(_hr-_hs)</f>
        <v>57.930382142504101</v>
      </c>
      <c r="F6" s="11">
        <f>_Flow*(1+_ALmargin)</f>
        <v>60.826901249629309</v>
      </c>
      <c r="G6" s="14">
        <v>33</v>
      </c>
      <c r="H6" s="16">
        <v>19.5</v>
      </c>
      <c r="I6" s="5">
        <f>[1]!hecalc(9,0,1,_ps*100000,2,_Ts/1,1)/1000</f>
        <v>185.35314166496082</v>
      </c>
      <c r="J6" s="18">
        <f>86-G6</f>
        <v>53</v>
      </c>
      <c r="K6" s="16">
        <v>19</v>
      </c>
      <c r="L6" s="5">
        <f>[1]!hecalc(9,0,1,_pr*100000,2,_Tr/1,1)/1000</f>
        <v>293.24126131563912</v>
      </c>
      <c r="N6" s="25">
        <f>(G6-J6)/LN(G6/J6)</f>
        <v>42.213297910659541</v>
      </c>
      <c r="P6" s="22">
        <f>[1]!hecalc(8,0,1,_ps*100000,2,_Ts/1,1)/1000</f>
        <v>13.833952125407658</v>
      </c>
      <c r="Q6" s="22">
        <f>[1]!hecalc(8,0,1,_pr*100000,2,_Tr/1,1)/1000</f>
        <v>16.450467987415379</v>
      </c>
      <c r="R6" s="23">
        <f>E6*(($I6-$L6)-300*($P6-$Q6))</f>
        <v>39222.729130409258</v>
      </c>
      <c r="S6" s="23">
        <f>F6*(($I6-$L6)-300*($P6-$Q6))</f>
        <v>41183.865586929722</v>
      </c>
    </row>
    <row r="7" spans="1:19">
      <c r="A7" s="34">
        <f>R7/$R$9</f>
        <v>0.83101256131426826</v>
      </c>
      <c r="B7" s="33" t="s">
        <v>19</v>
      </c>
      <c r="C7" s="29">
        <v>5000</v>
      </c>
      <c r="D7" s="2">
        <f>_Power*(1+_ALmargin)</f>
        <v>5250</v>
      </c>
      <c r="E7" s="28">
        <f>C7/(_hr-_hs)</f>
        <v>265.39605779942315</v>
      </c>
      <c r="F7" s="12">
        <f>_Flow*(1+_ALmargin)</f>
        <v>278.66586068939432</v>
      </c>
      <c r="G7" s="15">
        <v>4.5</v>
      </c>
      <c r="H7" s="17">
        <v>1.3</v>
      </c>
      <c r="I7" s="5">
        <f>[1]!hecalc(9,0,1,_ps*100000,43,_Ts/1,1)/1000</f>
        <v>11.629820262413913</v>
      </c>
      <c r="J7" s="19">
        <v>4.5</v>
      </c>
      <c r="K7" s="17">
        <v>1.3</v>
      </c>
      <c r="L7" s="3">
        <f>[1]!hecalc(9,0,1,_pr*100000,44,_Tr/1,1)/1000</f>
        <v>30.469587670635256</v>
      </c>
      <c r="N7" s="25" t="e">
        <f>(G7-J7)/LN(G7/J7)</f>
        <v>#DIV/0!</v>
      </c>
      <c r="P7" s="22">
        <f>[1]!hecalc(8,0,1,_ps*100000,43,_Ts/1,1)/1000</f>
        <v>3.8903228891107497</v>
      </c>
      <c r="Q7" s="22">
        <f>[1]!hecalc(8,0,1,_pr*100000,44,_Tr/1,1)/1000</f>
        <v>8.070277289775369</v>
      </c>
      <c r="R7" s="23">
        <f>E7*(($I7-$L7)-300*($P7-$Q7))</f>
        <v>327803.02591532213</v>
      </c>
      <c r="S7" s="23">
        <f>F7*(($I7-$L7)-300*($P7-$Q7))</f>
        <v>344193.17721108824</v>
      </c>
    </row>
    <row r="8" spans="1:19">
      <c r="A8" s="34">
        <f>R8/$R$9</f>
        <v>6.9554004520859275E-2</v>
      </c>
      <c r="B8" s="33" t="s">
        <v>18</v>
      </c>
      <c r="C8" s="8">
        <f>_Flow*(_hr-_hs)</f>
        <v>7715.1780840234051</v>
      </c>
      <c r="D8" s="2">
        <f>_Power*(1+_ALmargin)</f>
        <v>8100.9369882245755</v>
      </c>
      <c r="E8" s="35">
        <f>C7/C15*E16</f>
        <v>5</v>
      </c>
      <c r="F8" s="12">
        <f>_Flow*(1+_ALmargin)</f>
        <v>5.25</v>
      </c>
      <c r="G8" s="15">
        <v>4.5</v>
      </c>
      <c r="H8" s="17">
        <v>1.3</v>
      </c>
      <c r="I8" s="3">
        <f>[1]!hecalc(9,0,1,_ps*100000,2,_Ts/1,1)/1000</f>
        <v>30.495094343951845</v>
      </c>
      <c r="J8" s="19">
        <v>300</v>
      </c>
      <c r="K8" s="20">
        <v>1.05</v>
      </c>
      <c r="L8" s="3">
        <f>[1]!hecalc(9,0,1,_pr*100000,2,_Tr/1,1)/1000</f>
        <v>1573.5307111486329</v>
      </c>
      <c r="N8" s="25">
        <f t="shared" ref="N8" si="0">(G8-J8)/LN(G8/J8)</f>
        <v>70.362083651162649</v>
      </c>
      <c r="P8" s="22">
        <f>[1]!hecalc(8,0,1,_ps*100000,2,_Ts/1,1)/1000</f>
        <v>8.0759468774246805</v>
      </c>
      <c r="Q8" s="22">
        <f>[1]!hecalc(8,0,1,_pr*100000,2,_Tr/1,1)/1000</f>
        <v>31.510348399079206</v>
      </c>
      <c r="R8" s="23">
        <f t="shared" ref="R8" si="1">E8*(($I8-$L8)-300*($P8-$Q8))</f>
        <v>27436.424198458379</v>
      </c>
      <c r="S8" s="23">
        <f>F8*(($I8-$L8)-300*($P8-$Q8))</f>
        <v>28808.245408381299</v>
      </c>
    </row>
    <row r="9" spans="1:19">
      <c r="A9" s="31"/>
      <c r="M9" s="1" t="s">
        <v>17</v>
      </c>
      <c r="N9" s="25" t="e">
        <f t="array" ref="N9">SUM(N6:N8*R6:R8)/SUM(R6:R8)</f>
        <v>#DIV/0!</v>
      </c>
      <c r="Q9" s="1" t="s">
        <v>20</v>
      </c>
      <c r="R9" s="23">
        <f>SUM(R6:R8)</f>
        <v>394462.17924418976</v>
      </c>
      <c r="S9" s="23">
        <f>SUM(S6:S8)</f>
        <v>414185.28820639924</v>
      </c>
    </row>
    <row r="10" spans="1:19">
      <c r="Q10" s="1" t="s">
        <v>15</v>
      </c>
      <c r="R10" s="24">
        <f>SUM(R6:R8)/$P$3</f>
        <v>6007.0382626018736</v>
      </c>
      <c r="S10" s="24">
        <f>SUM(S6:S8)/$P$3</f>
        <v>6307.3901757319682</v>
      </c>
    </row>
    <row r="11" spans="1:19">
      <c r="A11" s="30" t="s">
        <v>25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19">
      <c r="A12" s="45" t="s">
        <v>23</v>
      </c>
      <c r="B12" s="42" t="s">
        <v>22</v>
      </c>
      <c r="C12" s="44" t="s">
        <v>0</v>
      </c>
      <c r="D12" s="41"/>
      <c r="E12" s="39" t="s">
        <v>3</v>
      </c>
      <c r="F12" s="40"/>
      <c r="G12" s="41" t="s">
        <v>7</v>
      </c>
      <c r="H12" s="41"/>
      <c r="I12" s="41"/>
      <c r="J12" s="39" t="s">
        <v>8</v>
      </c>
      <c r="K12" s="41"/>
      <c r="L12" s="41"/>
    </row>
    <row r="13" spans="1:19">
      <c r="A13" s="46"/>
      <c r="B13" s="43"/>
      <c r="C13" s="7" t="s">
        <v>1</v>
      </c>
      <c r="D13" s="6" t="s">
        <v>2</v>
      </c>
      <c r="E13" s="9" t="s">
        <v>1</v>
      </c>
      <c r="F13" s="10" t="s">
        <v>2</v>
      </c>
      <c r="G13" s="6" t="s">
        <v>4</v>
      </c>
      <c r="H13" s="6" t="s">
        <v>5</v>
      </c>
      <c r="I13" s="6" t="s">
        <v>6</v>
      </c>
      <c r="J13" s="9" t="s">
        <v>4</v>
      </c>
      <c r="K13" s="6" t="s">
        <v>5</v>
      </c>
      <c r="L13" s="6" t="s">
        <v>6</v>
      </c>
      <c r="N13" s="1" t="s">
        <v>16</v>
      </c>
      <c r="P13" s="1" t="s">
        <v>10</v>
      </c>
      <c r="Q13" s="1" t="s">
        <v>11</v>
      </c>
      <c r="R13" s="1" t="s">
        <v>12</v>
      </c>
      <c r="S13" s="1" t="s">
        <v>2</v>
      </c>
    </row>
    <row r="14" spans="1:19">
      <c r="A14" s="34">
        <f>R14/$R$17</f>
        <v>9.943343416487245E-2</v>
      </c>
      <c r="B14" s="32" t="s">
        <v>21</v>
      </c>
      <c r="C14" s="29">
        <v>12500</v>
      </c>
      <c r="D14" s="4">
        <f>_Power*(1+_ALmargin)</f>
        <v>13125</v>
      </c>
      <c r="E14" s="28">
        <f>C14/(_hr-_hs)</f>
        <v>115.8607642850082</v>
      </c>
      <c r="F14" s="11">
        <f>_Flow*(1+_ALmargin)</f>
        <v>121.65380249925862</v>
      </c>
      <c r="G14" s="14">
        <v>33</v>
      </c>
      <c r="H14" s="16">
        <v>19.5</v>
      </c>
      <c r="I14" s="5">
        <f>[1]!hecalc(9,0,1,_ps*100000,2,_Ts/1,1)/1000</f>
        <v>185.35314166496082</v>
      </c>
      <c r="J14" s="18">
        <v>53</v>
      </c>
      <c r="K14" s="16">
        <v>19</v>
      </c>
      <c r="L14" s="5">
        <f>[1]!hecalc(9,0,1,_pr*100000,2,_Tr/1,1)/1000</f>
        <v>293.24126131563912</v>
      </c>
      <c r="N14" s="25">
        <f>(G14-J14)/LN(G14/J14)</f>
        <v>42.213297910659541</v>
      </c>
      <c r="P14" s="22">
        <f>[1]!hecalc(8,0,1,_ps*100000,2,_Ts/1,1)/1000</f>
        <v>13.833952125407658</v>
      </c>
      <c r="Q14" s="22">
        <f>[1]!hecalc(8,0,1,_pr*100000,2,_Tr/1,1)/1000</f>
        <v>16.450467987415379</v>
      </c>
      <c r="R14" s="23">
        <f>E14*(($I14-$L14)-300*($P14-$Q14))</f>
        <v>78445.458260818516</v>
      </c>
      <c r="S14" s="23">
        <f>F14*(($I14-$L14)-300*($P14-$Q14))</f>
        <v>82367.731173859444</v>
      </c>
    </row>
    <row r="15" spans="1:19">
      <c r="A15" s="34">
        <f t="shared" ref="A15:A16" si="2">R15/$R$17</f>
        <v>0.83101256131426826</v>
      </c>
      <c r="B15" s="33" t="s">
        <v>19</v>
      </c>
      <c r="C15" s="29">
        <v>10000</v>
      </c>
      <c r="D15" s="2">
        <f>_Power*(1+_ALmargin)</f>
        <v>10500</v>
      </c>
      <c r="E15" s="28">
        <f>C15/(_hr-_hs)</f>
        <v>530.79211559884629</v>
      </c>
      <c r="F15" s="12">
        <f>_Flow*(1+_ALmargin)</f>
        <v>557.33172137878864</v>
      </c>
      <c r="G15" s="15">
        <v>4.5</v>
      </c>
      <c r="H15" s="17">
        <v>1.3</v>
      </c>
      <c r="I15" s="5">
        <f>[1]!hecalc(9,0,1,_ps*100000,43,_Ts/1,1)/1000</f>
        <v>11.629820262413913</v>
      </c>
      <c r="J15" s="19">
        <v>4.5</v>
      </c>
      <c r="K15" s="17">
        <v>1.3</v>
      </c>
      <c r="L15" s="3">
        <f>[1]!hecalc(9,0,1,_pr*100000,44,_Tr/1,1)/1000</f>
        <v>30.469587670635256</v>
      </c>
      <c r="N15" s="25" t="e">
        <f>(G15-J15)/LN(G15/J15)</f>
        <v>#DIV/0!</v>
      </c>
      <c r="P15" s="22">
        <f>[1]!hecalc(8,0,1,_ps*100000,43,_Ts/1,1)/1000</f>
        <v>3.8903228891107497</v>
      </c>
      <c r="Q15" s="22">
        <f>[1]!hecalc(8,0,1,_pr*100000,44,_Tr/1,1)/1000</f>
        <v>8.070277289775369</v>
      </c>
      <c r="R15" s="23">
        <f>E15*(($I15-$L15)-300*($P15-$Q15))</f>
        <v>655606.05183064425</v>
      </c>
      <c r="S15" s="23">
        <f>F15*(($I15-$L15)-300*($P15-$Q15))</f>
        <v>688386.35442217649</v>
      </c>
    </row>
    <row r="16" spans="1:19">
      <c r="A16" s="34">
        <f t="shared" si="2"/>
        <v>6.9554004520859275E-2</v>
      </c>
      <c r="B16" s="33" t="s">
        <v>18</v>
      </c>
      <c r="C16" s="8">
        <f>_Flow*(_hr-_hs)</f>
        <v>15430.35616804681</v>
      </c>
      <c r="D16" s="2">
        <f>_Power*(1+_ALmargin)</f>
        <v>16201.873976449151</v>
      </c>
      <c r="E16" s="13">
        <v>10</v>
      </c>
      <c r="F16" s="12">
        <f>_Flow*(1+_ALmargin)</f>
        <v>10.5</v>
      </c>
      <c r="G16" s="15">
        <v>4.5</v>
      </c>
      <c r="H16" s="17">
        <v>1.3</v>
      </c>
      <c r="I16" s="3">
        <f>[1]!hecalc(9,0,1,_ps*100000,2,_Ts/1,1)/1000</f>
        <v>30.495094343951845</v>
      </c>
      <c r="J16" s="19">
        <v>300</v>
      </c>
      <c r="K16" s="20">
        <v>1.05</v>
      </c>
      <c r="L16" s="3">
        <f>[1]!hecalc(9,0,1,_pr*100000,2,_Tr/1,1)/1000</f>
        <v>1573.5307111486329</v>
      </c>
      <c r="N16" s="25">
        <f t="shared" ref="N16" si="3">(G16-J16)/LN(G16/J16)</f>
        <v>70.362083651162649</v>
      </c>
      <c r="P16" s="22">
        <f>[1]!hecalc(8,0,1,_ps*100000,2,_Ts/1,1)/1000</f>
        <v>8.0759468774246805</v>
      </c>
      <c r="Q16" s="22">
        <f>[1]!hecalc(8,0,1,_pr*100000,2,_Tr/1,1)/1000</f>
        <v>31.510348399079206</v>
      </c>
      <c r="R16" s="23">
        <f t="shared" ref="R16" si="4">E16*(($I16-$L16)-300*($P16-$Q16))</f>
        <v>54872.848396916757</v>
      </c>
      <c r="S16" s="23">
        <f>F16*(($I16-$L16)-300*($P16-$Q16))</f>
        <v>57616.490816762598</v>
      </c>
    </row>
    <row r="17" spans="1:19">
      <c r="A17" s="31"/>
      <c r="M17" s="1" t="s">
        <v>17</v>
      </c>
      <c r="N17" s="25" t="e">
        <f t="array" ref="N17">SUM(N14:N16*R14:R16)/SUM(R14:R16)</f>
        <v>#DIV/0!</v>
      </c>
      <c r="Q17" s="1" t="s">
        <v>20</v>
      </c>
      <c r="R17" s="23">
        <f>SUM(R14:R16)</f>
        <v>788924.35848837951</v>
      </c>
      <c r="S17" s="23">
        <f>SUM(S14:S16)</f>
        <v>828370.57641279849</v>
      </c>
    </row>
    <row r="18" spans="1:19">
      <c r="Q18" s="1" t="s">
        <v>15</v>
      </c>
      <c r="R18" s="24">
        <f>SUM(R14:R16)/$P$3</f>
        <v>12014.076525203747</v>
      </c>
      <c r="S18" s="24">
        <f>SUM(S14:S16)/$P$3</f>
        <v>12614.780351463936</v>
      </c>
    </row>
    <row r="19" spans="1:19">
      <c r="A19" s="30" t="s">
        <v>26</v>
      </c>
    </row>
    <row r="20" spans="1:19">
      <c r="A20" s="45" t="s">
        <v>23</v>
      </c>
      <c r="B20" s="42" t="s">
        <v>22</v>
      </c>
      <c r="C20" s="44" t="s">
        <v>0</v>
      </c>
      <c r="D20" s="41"/>
      <c r="E20" s="39" t="s">
        <v>3</v>
      </c>
      <c r="F20" s="40"/>
      <c r="G20" s="41" t="s">
        <v>7</v>
      </c>
      <c r="H20" s="41"/>
      <c r="I20" s="41"/>
      <c r="J20" s="39" t="s">
        <v>8</v>
      </c>
      <c r="K20" s="41"/>
      <c r="L20" s="41"/>
    </row>
    <row r="21" spans="1:19">
      <c r="A21" s="46"/>
      <c r="B21" s="43"/>
      <c r="C21" s="7" t="s">
        <v>1</v>
      </c>
      <c r="D21" s="6" t="s">
        <v>2</v>
      </c>
      <c r="E21" s="9" t="s">
        <v>1</v>
      </c>
      <c r="F21" s="10" t="s">
        <v>2</v>
      </c>
      <c r="G21" s="6" t="s">
        <v>4</v>
      </c>
      <c r="H21" s="6" t="s">
        <v>5</v>
      </c>
      <c r="I21" s="6" t="s">
        <v>6</v>
      </c>
      <c r="J21" s="9" t="s">
        <v>4</v>
      </c>
      <c r="K21" s="6" t="s">
        <v>5</v>
      </c>
      <c r="L21" s="6" t="s">
        <v>6</v>
      </c>
      <c r="N21" s="1" t="s">
        <v>16</v>
      </c>
      <c r="P21" s="1" t="s">
        <v>10</v>
      </c>
      <c r="Q21" s="1" t="s">
        <v>11</v>
      </c>
      <c r="R21" s="1" t="s">
        <v>12</v>
      </c>
      <c r="S21" s="1" t="s">
        <v>2</v>
      </c>
    </row>
    <row r="22" spans="1:19">
      <c r="A22" s="34">
        <f>R22/$R$25</f>
        <v>9.943343416487245E-2</v>
      </c>
      <c r="B22" s="32" t="s">
        <v>21</v>
      </c>
      <c r="C22" s="36">
        <f>C23/C15*C14</f>
        <v>31250</v>
      </c>
      <c r="D22" s="4">
        <f>_Power*(1+_ALmargin)</f>
        <v>32812.5</v>
      </c>
      <c r="E22" s="28">
        <f>C22/(_hr-_hs)</f>
        <v>289.65191071252048</v>
      </c>
      <c r="F22" s="11">
        <f>_Flow*(1+_ALmargin)</f>
        <v>304.13450624814652</v>
      </c>
      <c r="G22" s="14">
        <v>33</v>
      </c>
      <c r="H22" s="16">
        <v>19.5</v>
      </c>
      <c r="I22" s="5">
        <f>[1]!hecalc(9,0,1,_ps*100000,2,_Ts/1,1)/1000</f>
        <v>185.35314166496082</v>
      </c>
      <c r="J22" s="18">
        <f>86-G22</f>
        <v>53</v>
      </c>
      <c r="K22" s="16">
        <v>19</v>
      </c>
      <c r="L22" s="5">
        <f>[1]!hecalc(9,0,1,_pr*100000,2,_Tr/1,1)/1000</f>
        <v>293.24126131563912</v>
      </c>
      <c r="N22" s="25">
        <f>(G22-J22)/LN(G22/J22)</f>
        <v>42.213297910659541</v>
      </c>
      <c r="P22" s="22">
        <f>[1]!hecalc(8,0,1,_ps*100000,2,_Ts/1,1)/1000</f>
        <v>13.833952125407658</v>
      </c>
      <c r="Q22" s="22">
        <f>[1]!hecalc(8,0,1,_pr*100000,2,_Tr/1,1)/1000</f>
        <v>16.450467987415379</v>
      </c>
      <c r="R22" s="23">
        <f>E22*(($I22-$L22)-300*($P22-$Q22))</f>
        <v>196113.64565204628</v>
      </c>
      <c r="S22" s="23">
        <f>F22*(($I22-$L22)-300*($P22-$Q22))</f>
        <v>205919.32793464861</v>
      </c>
    </row>
    <row r="23" spans="1:19">
      <c r="A23" s="34">
        <f t="shared" ref="A23:A24" si="5">R23/$R$25</f>
        <v>0.83101256131426826</v>
      </c>
      <c r="B23" s="33" t="s">
        <v>19</v>
      </c>
      <c r="C23" s="29">
        <v>25000</v>
      </c>
      <c r="D23" s="2">
        <f>_Power*(1+_ALmargin)</f>
        <v>26250</v>
      </c>
      <c r="E23" s="28">
        <f>C23/(_hr-_hs)</f>
        <v>1326.9802889971158</v>
      </c>
      <c r="F23" s="12">
        <f>_Flow*(1+_ALmargin)</f>
        <v>1393.3293034469716</v>
      </c>
      <c r="G23" s="15">
        <v>4.5</v>
      </c>
      <c r="H23" s="17">
        <v>1.3</v>
      </c>
      <c r="I23" s="5">
        <f>[1]!hecalc(9,0,1,_ps*100000,43,_Ts/1,1)/1000</f>
        <v>11.629820262413913</v>
      </c>
      <c r="J23" s="19">
        <v>4.5</v>
      </c>
      <c r="K23" s="17">
        <v>1.3</v>
      </c>
      <c r="L23" s="3">
        <f>[1]!hecalc(9,0,1,_pr*100000,44,_Tr/1,1)/1000</f>
        <v>30.469587670635256</v>
      </c>
      <c r="N23" s="25" t="e">
        <f>(G23-J23)/LN(G23/J23)</f>
        <v>#DIV/0!</v>
      </c>
      <c r="P23" s="22">
        <f>[1]!hecalc(8,0,1,_ps*100000,43,_Ts/1,1)/1000</f>
        <v>3.8903228891107497</v>
      </c>
      <c r="Q23" s="22">
        <f>[1]!hecalc(8,0,1,_pr*100000,44,_Tr/1,1)/1000</f>
        <v>8.070277289775369</v>
      </c>
      <c r="R23" s="23">
        <f>E23*(($I23-$L23)-300*($P23-$Q23))</f>
        <v>1639015.1295766106</v>
      </c>
      <c r="S23" s="23">
        <f>F23*(($I23-$L23)-300*($P23-$Q23))</f>
        <v>1720965.8860554411</v>
      </c>
    </row>
    <row r="24" spans="1:19">
      <c r="A24" s="34">
        <f t="shared" si="5"/>
        <v>6.9554004520859275E-2</v>
      </c>
      <c r="B24" s="33" t="s">
        <v>18</v>
      </c>
      <c r="C24" s="8">
        <f>_Flow*(_hr-_hs)</f>
        <v>38575.890420117023</v>
      </c>
      <c r="D24" s="2">
        <f>_Power*(1+_ALmargin)</f>
        <v>40504.684941122876</v>
      </c>
      <c r="E24" s="35">
        <f>C23/C15*E16</f>
        <v>25</v>
      </c>
      <c r="F24" s="12">
        <f>_Flow*(1+_ALmargin)</f>
        <v>26.25</v>
      </c>
      <c r="G24" s="15">
        <v>4.5</v>
      </c>
      <c r="H24" s="17">
        <v>1.3</v>
      </c>
      <c r="I24" s="3">
        <f>[1]!hecalc(9,0,1,_ps*100000,2,_Ts/1,1)/1000</f>
        <v>30.495094343951845</v>
      </c>
      <c r="J24" s="19">
        <v>300</v>
      </c>
      <c r="K24" s="20">
        <v>1.05</v>
      </c>
      <c r="L24" s="3">
        <f>[1]!hecalc(9,0,1,_pr*100000,2,_Tr/1,1)/1000</f>
        <v>1573.5307111486329</v>
      </c>
      <c r="N24" s="25">
        <f t="shared" ref="N24" si="6">(G24-J24)/LN(G24/J24)</f>
        <v>70.362083651162649</v>
      </c>
      <c r="P24" s="22">
        <f>[1]!hecalc(8,0,1,_ps*100000,2,_Ts/1,1)/1000</f>
        <v>8.0759468774246805</v>
      </c>
      <c r="Q24" s="22">
        <f>[1]!hecalc(8,0,1,_pr*100000,2,_Tr/1,1)/1000</f>
        <v>31.510348399079206</v>
      </c>
      <c r="R24" s="23">
        <f t="shared" ref="R24" si="7">E24*(($I24-$L24)-300*($P24-$Q24))</f>
        <v>137182.12099229189</v>
      </c>
      <c r="S24" s="23">
        <f>F24*(($I24-$L24)-300*($P24-$Q24))</f>
        <v>144041.2270419065</v>
      </c>
    </row>
    <row r="25" spans="1:19">
      <c r="A25" s="31"/>
      <c r="M25" s="1" t="s">
        <v>17</v>
      </c>
      <c r="N25" s="25" t="e">
        <f t="array" ref="N25">SUM(N22:N24*R22:R24)/SUM(R22:R24)</f>
        <v>#DIV/0!</v>
      </c>
      <c r="Q25" s="1" t="s">
        <v>20</v>
      </c>
      <c r="R25" s="23">
        <f>SUM(R22:R24)</f>
        <v>1972310.8962209488</v>
      </c>
      <c r="S25" s="23">
        <f>SUM(S22:S24)</f>
        <v>2070926.4410319962</v>
      </c>
    </row>
    <row r="26" spans="1:19">
      <c r="Q26" s="1" t="s">
        <v>15</v>
      </c>
      <c r="R26" s="24">
        <f>SUM(R22:R24)/$P$3</f>
        <v>30035.191313009371</v>
      </c>
      <c r="S26" s="24">
        <f>SUM(S22:S24)/$P$3</f>
        <v>31536.950878659838</v>
      </c>
    </row>
    <row r="29" spans="1:19">
      <c r="A29" s="21">
        <v>0.05</v>
      </c>
      <c r="B29" s="1" t="s">
        <v>9</v>
      </c>
      <c r="O29" s="1" t="s">
        <v>13</v>
      </c>
      <c r="P29" s="1">
        <v>300</v>
      </c>
    </row>
    <row r="30" spans="1:19">
      <c r="A30" s="21"/>
    </row>
    <row r="31" spans="1:19">
      <c r="A31" s="30" t="s">
        <v>24</v>
      </c>
      <c r="O31" s="1" t="s">
        <v>14</v>
      </c>
      <c r="P31" s="26">
        <f>(P29-4.5)/4.5</f>
        <v>65.666666666666671</v>
      </c>
    </row>
    <row r="32" spans="1:19">
      <c r="A32" s="45" t="s">
        <v>23</v>
      </c>
      <c r="B32" s="42" t="s">
        <v>22</v>
      </c>
      <c r="C32" s="44" t="s">
        <v>0</v>
      </c>
      <c r="D32" s="41"/>
      <c r="E32" s="39" t="s">
        <v>3</v>
      </c>
      <c r="F32" s="40"/>
      <c r="G32" s="41" t="s">
        <v>7</v>
      </c>
      <c r="H32" s="41"/>
      <c r="I32" s="41"/>
      <c r="J32" s="39" t="s">
        <v>8</v>
      </c>
      <c r="K32" s="41"/>
      <c r="L32" s="41"/>
    </row>
    <row r="33" spans="1:20">
      <c r="A33" s="46"/>
      <c r="B33" s="43"/>
      <c r="C33" s="7" t="s">
        <v>1</v>
      </c>
      <c r="D33" s="6" t="s">
        <v>2</v>
      </c>
      <c r="E33" s="9" t="s">
        <v>1</v>
      </c>
      <c r="F33" s="10" t="s">
        <v>2</v>
      </c>
      <c r="G33" s="6" t="s">
        <v>4</v>
      </c>
      <c r="H33" s="6" t="s">
        <v>5</v>
      </c>
      <c r="I33" s="6" t="s">
        <v>6</v>
      </c>
      <c r="J33" s="9" t="s">
        <v>4</v>
      </c>
      <c r="K33" s="6" t="s">
        <v>5</v>
      </c>
      <c r="L33" s="6" t="s">
        <v>6</v>
      </c>
      <c r="N33" s="1" t="s">
        <v>16</v>
      </c>
      <c r="P33" s="1" t="s">
        <v>10</v>
      </c>
      <c r="Q33" s="1" t="s">
        <v>11</v>
      </c>
      <c r="R33" s="1" t="s">
        <v>12</v>
      </c>
      <c r="S33" s="1" t="s">
        <v>2</v>
      </c>
    </row>
    <row r="34" spans="1:20">
      <c r="A34" s="34">
        <f>R34/$R$37</f>
        <v>0.10008777113532889</v>
      </c>
      <c r="B34" s="32" t="s">
        <v>21</v>
      </c>
      <c r="C34" s="36">
        <f>C35/C43*C42</f>
        <v>5250</v>
      </c>
      <c r="D34" s="4">
        <f>_Power*(1+_ALmargin)</f>
        <v>5512.5</v>
      </c>
      <c r="E34" s="28">
        <f>C34/(_hr-_hs)</f>
        <v>48.661520999703441</v>
      </c>
      <c r="F34" s="11">
        <f>_Flow*(1+_ALmargin)</f>
        <v>51.094597049688616</v>
      </c>
      <c r="G34" s="14">
        <v>33</v>
      </c>
      <c r="H34" s="16">
        <v>19.5</v>
      </c>
      <c r="I34" s="5">
        <f>[1]!hecalc(9,0,1,_ps*100000,2,_Ts/1,1)/1000</f>
        <v>185.35314166496082</v>
      </c>
      <c r="J34" s="18">
        <f>86-G34</f>
        <v>53</v>
      </c>
      <c r="K34" s="16">
        <v>19</v>
      </c>
      <c r="L34" s="5">
        <f>[1]!hecalc(9,0,1,_pr*100000,2,_Tr/1,1)/1000</f>
        <v>293.24126131563912</v>
      </c>
      <c r="N34" s="25">
        <f>(G34-J34)/LN(G34/J34)</f>
        <v>42.213297910659541</v>
      </c>
      <c r="P34" s="22">
        <f>[1]!hecalc(8,0,1,_ps*100000,2,_Ts/1,1)/1000</f>
        <v>13.833952125407658</v>
      </c>
      <c r="Q34" s="22">
        <f>[1]!hecalc(8,0,1,_pr*100000,2,_Tr/1,1)/1000</f>
        <v>16.450467987415379</v>
      </c>
      <c r="R34" s="23">
        <f>E34*(($I34-$L34)-300*($P34-$Q34))</f>
        <v>32947.092469543779</v>
      </c>
      <c r="S34" s="23">
        <f>F34*(($I34-$L34)-300*($P34-$Q34))</f>
        <v>34594.447093020965</v>
      </c>
    </row>
    <row r="35" spans="1:20">
      <c r="A35" s="34">
        <f>R35/$R$37</f>
        <v>0.81656494872195295</v>
      </c>
      <c r="B35" s="33" t="s">
        <v>19</v>
      </c>
      <c r="C35" s="29">
        <f>C43/2</f>
        <v>4100</v>
      </c>
      <c r="D35" s="2">
        <f>_Power*(1+_ALmargin)</f>
        <v>4305</v>
      </c>
      <c r="E35" s="28">
        <f>C35/(_hr-_hs)</f>
        <v>217.62476739552699</v>
      </c>
      <c r="F35" s="12">
        <f>_Flow*(1+_ALmargin)</f>
        <v>228.50600576530334</v>
      </c>
      <c r="G35" s="15">
        <v>4.5</v>
      </c>
      <c r="H35" s="17">
        <v>1.3</v>
      </c>
      <c r="I35" s="5">
        <f>[1]!hecalc(9,0,1,_ps*100000,43,_Ts/1,1)/1000</f>
        <v>11.629820262413913</v>
      </c>
      <c r="J35" s="19">
        <v>4.5</v>
      </c>
      <c r="K35" s="17">
        <v>1.3</v>
      </c>
      <c r="L35" s="3">
        <f>[1]!hecalc(9,0,1,_pr*100000,44,_Tr/1,1)/1000</f>
        <v>30.469587670635256</v>
      </c>
      <c r="N35" s="25" t="e">
        <f>(G35-J35)/LN(G35/J35)</f>
        <v>#DIV/0!</v>
      </c>
      <c r="P35" s="22">
        <f>[1]!hecalc(8,0,1,_ps*100000,43,_Ts/1,1)/1000</f>
        <v>3.8903228891107497</v>
      </c>
      <c r="Q35" s="22">
        <f>[1]!hecalc(8,0,1,_pr*100000,44,_Tr/1,1)/1000</f>
        <v>8.070277289775369</v>
      </c>
      <c r="R35" s="23">
        <f>E35*(($I35-$L35)-300*($P35-$Q35))</f>
        <v>268798.48125056416</v>
      </c>
      <c r="S35" s="23">
        <f>F35*(($I35-$L35)-300*($P35-$Q35))</f>
        <v>282238.40531309234</v>
      </c>
    </row>
    <row r="36" spans="1:20">
      <c r="A36" s="34">
        <f>R36/$R$37</f>
        <v>8.3347280142718055E-2</v>
      </c>
      <c r="B36" s="33" t="s">
        <v>18</v>
      </c>
      <c r="C36" s="8">
        <f>_Flow*(_hr-_hs)</f>
        <v>7715.1780840234051</v>
      </c>
      <c r="D36" s="2">
        <f>_Power*(1+_ALmargin)</f>
        <v>8100.9369882245755</v>
      </c>
      <c r="E36" s="35">
        <f>C35/C43*E44</f>
        <v>5</v>
      </c>
      <c r="F36" s="12">
        <f>_Flow*(1+_ALmargin)</f>
        <v>5.25</v>
      </c>
      <c r="G36" s="15">
        <v>4.5</v>
      </c>
      <c r="H36" s="17">
        <v>1.3</v>
      </c>
      <c r="I36" s="3">
        <f>[1]!hecalc(9,0,1,_ps*100000,2,_Ts/1,1)/1000</f>
        <v>30.495094343951845</v>
      </c>
      <c r="J36" s="19">
        <v>300</v>
      </c>
      <c r="K36" s="20">
        <v>1.05</v>
      </c>
      <c r="L36" s="3">
        <f>[1]!hecalc(9,0,1,_pr*100000,2,_Tr/1,1)/1000</f>
        <v>1573.5307111486329</v>
      </c>
      <c r="N36" s="25">
        <f t="shared" ref="N36" si="8">(G36-J36)/LN(G36/J36)</f>
        <v>70.362083651162649</v>
      </c>
      <c r="P36" s="22">
        <f>[1]!hecalc(8,0,1,_ps*100000,2,_Ts/1,1)/1000</f>
        <v>8.0759468774246805</v>
      </c>
      <c r="Q36" s="22">
        <f>[1]!hecalc(8,0,1,_pr*100000,2,_Tr/1,1)/1000</f>
        <v>31.510348399079206</v>
      </c>
      <c r="R36" s="23">
        <f t="shared" ref="R36" si="9">E36*(($I36-$L36)-300*($P36-$Q36))</f>
        <v>27436.424198458379</v>
      </c>
      <c r="S36" s="23">
        <f>F36*(($I36-$L36)-300*($P36-$Q36))</f>
        <v>28808.245408381299</v>
      </c>
    </row>
    <row r="37" spans="1:20">
      <c r="A37" s="31"/>
      <c r="M37" s="1" t="s">
        <v>17</v>
      </c>
      <c r="N37" s="25" t="e">
        <f t="array" ref="N37">SUM(N34:N36*R34:R36)/SUM(R34:R36)</f>
        <v>#DIV/0!</v>
      </c>
      <c r="Q37" s="1" t="s">
        <v>20</v>
      </c>
      <c r="R37" s="23">
        <f>SUM(R34:R36)</f>
        <v>329181.99791856634</v>
      </c>
      <c r="S37" s="23">
        <f>SUM(S34:S36)</f>
        <v>345641.09781449457</v>
      </c>
    </row>
    <row r="38" spans="1:20">
      <c r="Q38" s="1" t="s">
        <v>15</v>
      </c>
      <c r="R38" s="24">
        <f>SUM(R34:R36)/$P$3</f>
        <v>5012.9238261710607</v>
      </c>
      <c r="S38" s="24">
        <f>SUM(S34:S36)/$P$3</f>
        <v>5263.570017479612</v>
      </c>
    </row>
    <row r="39" spans="1:20">
      <c r="A39" s="30" t="s">
        <v>25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</row>
    <row r="40" spans="1:20">
      <c r="A40" s="45" t="s">
        <v>23</v>
      </c>
      <c r="B40" s="42" t="s">
        <v>22</v>
      </c>
      <c r="C40" s="44" t="s">
        <v>0</v>
      </c>
      <c r="D40" s="41"/>
      <c r="E40" s="39" t="s">
        <v>3</v>
      </c>
      <c r="F40" s="40"/>
      <c r="G40" s="41" t="s">
        <v>7</v>
      </c>
      <c r="H40" s="41"/>
      <c r="I40" s="41"/>
      <c r="J40" s="39" t="s">
        <v>8</v>
      </c>
      <c r="K40" s="41"/>
      <c r="L40" s="41"/>
    </row>
    <row r="41" spans="1:20">
      <c r="A41" s="46"/>
      <c r="B41" s="43"/>
      <c r="C41" s="7" t="s">
        <v>1</v>
      </c>
      <c r="D41" s="6" t="s">
        <v>2</v>
      </c>
      <c r="E41" s="9" t="s">
        <v>1</v>
      </c>
      <c r="F41" s="10" t="s">
        <v>2</v>
      </c>
      <c r="G41" s="6" t="s">
        <v>4</v>
      </c>
      <c r="H41" s="6" t="s">
        <v>5</v>
      </c>
      <c r="I41" s="6" t="s">
        <v>6</v>
      </c>
      <c r="J41" s="9" t="s">
        <v>4</v>
      </c>
      <c r="K41" s="6" t="s">
        <v>5</v>
      </c>
      <c r="L41" s="6" t="s">
        <v>6</v>
      </c>
      <c r="N41" s="1" t="s">
        <v>16</v>
      </c>
      <c r="P41" s="1" t="s">
        <v>10</v>
      </c>
      <c r="Q41" s="1" t="s">
        <v>11</v>
      </c>
      <c r="R41" s="1" t="s">
        <v>12</v>
      </c>
      <c r="S41" s="1" t="s">
        <v>2</v>
      </c>
    </row>
    <row r="42" spans="1:20">
      <c r="A42" s="34">
        <f>R42/$R$45</f>
        <v>0.10008777113532889</v>
      </c>
      <c r="B42" s="32" t="s">
        <v>21</v>
      </c>
      <c r="C42" s="29">
        <v>10500</v>
      </c>
      <c r="D42" s="4">
        <f>_Power*(1+_ALmargin)</f>
        <v>11025</v>
      </c>
      <c r="E42" s="28">
        <f>C42/(_hr-_hs)</f>
        <v>97.323041999406882</v>
      </c>
      <c r="F42" s="11">
        <f>_Flow*(1+_ALmargin)</f>
        <v>102.18919409937723</v>
      </c>
      <c r="G42" s="14">
        <v>33</v>
      </c>
      <c r="H42" s="16">
        <v>19.5</v>
      </c>
      <c r="I42" s="5">
        <f>[1]!hecalc(9,0,1,_ps*100000,2,_Ts/1,1)/1000</f>
        <v>185.35314166496082</v>
      </c>
      <c r="J42" s="18">
        <v>53</v>
      </c>
      <c r="K42" s="16">
        <v>19</v>
      </c>
      <c r="L42" s="5">
        <f>[1]!hecalc(9,0,1,_pr*100000,2,_Tr/1,1)/1000</f>
        <v>293.24126131563912</v>
      </c>
      <c r="N42" s="25">
        <f>(G42-J42)/LN(G42/J42)</f>
        <v>42.213297910659541</v>
      </c>
      <c r="P42" s="22">
        <f>[1]!hecalc(8,0,1,_ps*100000,2,_Ts/1,1)/1000</f>
        <v>13.833952125407658</v>
      </c>
      <c r="Q42" s="22">
        <f>[1]!hecalc(8,0,1,_pr*100000,2,_Tr/1,1)/1000</f>
        <v>16.450467987415379</v>
      </c>
      <c r="R42" s="23">
        <f>E42*(($I42-$L42)-300*($P42-$Q42))</f>
        <v>65894.184939087558</v>
      </c>
      <c r="S42" s="23">
        <f>F42*(($I42-$L42)-300*($P42-$Q42))</f>
        <v>69188.894186041929</v>
      </c>
      <c r="T42" s="38">
        <f>R42/$P$3/1000</f>
        <v>1.0034647452652927</v>
      </c>
    </row>
    <row r="43" spans="1:20">
      <c r="A43" s="37">
        <f>R43/$R$45</f>
        <v>0.81656494872195295</v>
      </c>
      <c r="B43" s="33" t="s">
        <v>19</v>
      </c>
      <c r="C43" s="29">
        <v>8200</v>
      </c>
      <c r="D43" s="2">
        <f>_Power*(1+_ALmargin)</f>
        <v>8610</v>
      </c>
      <c r="E43" s="28">
        <f>C43/(_hr-_hs)</f>
        <v>435.24953479105397</v>
      </c>
      <c r="F43" s="12">
        <f>_Flow*(1+_ALmargin)</f>
        <v>457.01201153060669</v>
      </c>
      <c r="G43" s="15">
        <v>4.5</v>
      </c>
      <c r="H43" s="17">
        <v>1.3</v>
      </c>
      <c r="I43" s="5">
        <f>[1]!hecalc(9,0,1,_ps*100000,43,_Ts/1,1)/1000</f>
        <v>11.629820262413913</v>
      </c>
      <c r="J43" s="19">
        <v>4.5</v>
      </c>
      <c r="K43" s="17">
        <v>1.3</v>
      </c>
      <c r="L43" s="3">
        <f>[1]!hecalc(9,0,1,_pr*100000,44,_Tr/1,1)/1000</f>
        <v>30.469587670635256</v>
      </c>
      <c r="N43" s="25" t="e">
        <f>(G43-J43)/LN(G43/J43)</f>
        <v>#DIV/0!</v>
      </c>
      <c r="P43" s="22">
        <f>[1]!hecalc(8,0,1,_ps*100000,43,_Ts/1,1)/1000</f>
        <v>3.8903228891107497</v>
      </c>
      <c r="Q43" s="22">
        <f>[1]!hecalc(8,0,1,_pr*100000,44,_Tr/1,1)/1000</f>
        <v>8.070277289775369</v>
      </c>
      <c r="R43" s="23">
        <f>E43*(($I43-$L43)-300*($P43-$Q43))</f>
        <v>537596.96250112832</v>
      </c>
      <c r="S43" s="23">
        <f>F43*(($I43-$L43)-300*($P43-$Q43))</f>
        <v>564476.81062618468</v>
      </c>
      <c r="T43" s="38">
        <f t="shared" ref="T43:T44" si="10">R43/$P$3/1000</f>
        <v>8.1867557741288568</v>
      </c>
    </row>
    <row r="44" spans="1:20">
      <c r="A44" s="34">
        <f>R44/$R$45</f>
        <v>8.3347280142718055E-2</v>
      </c>
      <c r="B44" s="33" t="s">
        <v>18</v>
      </c>
      <c r="C44" s="8">
        <f>_Flow*(_hr-_hs)</f>
        <v>15430.35616804681</v>
      </c>
      <c r="D44" s="2">
        <f>_Power*(1+_ALmargin)</f>
        <v>16201.873976449151</v>
      </c>
      <c r="E44" s="13">
        <v>10</v>
      </c>
      <c r="F44" s="12">
        <f>_Flow*(1+_ALmargin)</f>
        <v>10.5</v>
      </c>
      <c r="G44" s="15">
        <v>4.5</v>
      </c>
      <c r="H44" s="17">
        <v>1.3</v>
      </c>
      <c r="I44" s="3">
        <f>[1]!hecalc(9,0,1,_ps*100000,2,_Ts/1,1)/1000</f>
        <v>30.495094343951845</v>
      </c>
      <c r="J44" s="19">
        <v>300</v>
      </c>
      <c r="K44" s="20">
        <v>1.05</v>
      </c>
      <c r="L44" s="3">
        <f>[1]!hecalc(9,0,1,_pr*100000,2,_Tr/1,1)/1000</f>
        <v>1573.5307111486329</v>
      </c>
      <c r="N44" s="25">
        <f t="shared" ref="N44" si="11">(G44-J44)/LN(G44/J44)</f>
        <v>70.362083651162649</v>
      </c>
      <c r="P44" s="22">
        <f>[1]!hecalc(8,0,1,_ps*100000,2,_Ts/1,1)/1000</f>
        <v>8.0759468774246805</v>
      </c>
      <c r="Q44" s="22">
        <f>[1]!hecalc(8,0,1,_pr*100000,2,_Tr/1,1)/1000</f>
        <v>31.510348399079206</v>
      </c>
      <c r="R44" s="23">
        <f t="shared" ref="R44" si="12">E44*(($I44-$L44)-300*($P44-$Q44))</f>
        <v>54872.848396916757</v>
      </c>
      <c r="S44" s="23">
        <f>F44*(($I44-$L44)-300*($P44-$Q44))</f>
        <v>57616.490816762598</v>
      </c>
      <c r="T44" s="38">
        <f t="shared" si="10"/>
        <v>0.83562713294797086</v>
      </c>
    </row>
    <row r="45" spans="1:20">
      <c r="A45" s="31"/>
      <c r="M45" s="1" t="s">
        <v>17</v>
      </c>
      <c r="N45" s="25" t="e">
        <f t="array" ref="N45">SUM(N42:N44*R42:R44)/SUM(R42:R44)</f>
        <v>#DIV/0!</v>
      </c>
      <c r="Q45" s="1" t="s">
        <v>20</v>
      </c>
      <c r="R45" s="23">
        <f>SUM(R42:R44)</f>
        <v>658363.99583713268</v>
      </c>
      <c r="S45" s="23">
        <f>SUM(S42:S44)</f>
        <v>691282.19562898914</v>
      </c>
    </row>
    <row r="46" spans="1:20">
      <c r="Q46" s="1" t="s">
        <v>15</v>
      </c>
      <c r="R46" s="24">
        <f>SUM(R42:R44)/$P$3</f>
        <v>10025.847652342121</v>
      </c>
      <c r="S46" s="24">
        <f>SUM(S42:S44)/$P$3</f>
        <v>10527.140034959224</v>
      </c>
    </row>
    <row r="47" spans="1:20">
      <c r="A47" s="30" t="s">
        <v>26</v>
      </c>
    </row>
    <row r="48" spans="1:20">
      <c r="A48" s="45" t="s">
        <v>23</v>
      </c>
      <c r="B48" s="42" t="s">
        <v>22</v>
      </c>
      <c r="C48" s="44" t="s">
        <v>0</v>
      </c>
      <c r="D48" s="41"/>
      <c r="E48" s="39" t="s">
        <v>3</v>
      </c>
      <c r="F48" s="40"/>
      <c r="G48" s="41" t="s">
        <v>7</v>
      </c>
      <c r="H48" s="41"/>
      <c r="I48" s="41"/>
      <c r="J48" s="39" t="s">
        <v>8</v>
      </c>
      <c r="K48" s="41"/>
      <c r="L48" s="41"/>
    </row>
    <row r="49" spans="1:19">
      <c r="A49" s="46"/>
      <c r="B49" s="43"/>
      <c r="C49" s="7" t="s">
        <v>1</v>
      </c>
      <c r="D49" s="6" t="s">
        <v>2</v>
      </c>
      <c r="E49" s="9" t="s">
        <v>1</v>
      </c>
      <c r="F49" s="10" t="s">
        <v>2</v>
      </c>
      <c r="G49" s="6" t="s">
        <v>4</v>
      </c>
      <c r="H49" s="6" t="s">
        <v>5</v>
      </c>
      <c r="I49" s="6" t="s">
        <v>6</v>
      </c>
      <c r="J49" s="9" t="s">
        <v>4</v>
      </c>
      <c r="K49" s="6" t="s">
        <v>5</v>
      </c>
      <c r="L49" s="6" t="s">
        <v>6</v>
      </c>
      <c r="N49" s="1" t="s">
        <v>16</v>
      </c>
      <c r="P49" s="1" t="s">
        <v>10</v>
      </c>
      <c r="Q49" s="1" t="s">
        <v>11</v>
      </c>
      <c r="R49" s="1" t="s">
        <v>12</v>
      </c>
      <c r="S49" s="1" t="s">
        <v>2</v>
      </c>
    </row>
    <row r="50" spans="1:19">
      <c r="A50" s="34">
        <f>R50/$R$53</f>
        <v>0.10008777113532889</v>
      </c>
      <c r="B50" s="32" t="s">
        <v>21</v>
      </c>
      <c r="C50" s="36">
        <f>C51/C43*C42</f>
        <v>26250</v>
      </c>
      <c r="D50" s="4">
        <f>_Power*(1+_ALmargin)</f>
        <v>27562.5</v>
      </c>
      <c r="E50" s="28">
        <f>C50/(_hr-_hs)</f>
        <v>243.30760499851721</v>
      </c>
      <c r="F50" s="11">
        <f>_Flow*(1+_ALmargin)</f>
        <v>255.47298524844308</v>
      </c>
      <c r="G50" s="14">
        <v>33</v>
      </c>
      <c r="H50" s="16">
        <v>19.5</v>
      </c>
      <c r="I50" s="5">
        <f>[1]!hecalc(9,0,1,_ps*100000,2,_Ts/1,1)/1000</f>
        <v>185.35314166496082</v>
      </c>
      <c r="J50" s="18">
        <f>86-G50</f>
        <v>53</v>
      </c>
      <c r="K50" s="16">
        <v>19</v>
      </c>
      <c r="L50" s="5">
        <f>[1]!hecalc(9,0,1,_pr*100000,2,_Tr/1,1)/1000</f>
        <v>293.24126131563912</v>
      </c>
      <c r="N50" s="25">
        <f>(G50-J50)/LN(G50/J50)</f>
        <v>42.213297910659541</v>
      </c>
      <c r="P50" s="22">
        <f>[1]!hecalc(8,0,1,_ps*100000,2,_Ts/1,1)/1000</f>
        <v>13.833952125407658</v>
      </c>
      <c r="Q50" s="22">
        <f>[1]!hecalc(8,0,1,_pr*100000,2,_Tr/1,1)/1000</f>
        <v>16.450467987415379</v>
      </c>
      <c r="R50" s="23">
        <f>E50*(($I50-$L50)-300*($P50-$Q50))</f>
        <v>164735.46234771889</v>
      </c>
      <c r="S50" s="23">
        <f>F50*(($I50-$L50)-300*($P50-$Q50))</f>
        <v>172972.23546510484</v>
      </c>
    </row>
    <row r="51" spans="1:19">
      <c r="A51" s="34">
        <f>R51/$R$53</f>
        <v>0.81656494872195307</v>
      </c>
      <c r="B51" s="33" t="s">
        <v>19</v>
      </c>
      <c r="C51" s="29">
        <f>C43*2.5</f>
        <v>20500</v>
      </c>
      <c r="D51" s="2">
        <f>_Power*(1+_ALmargin)</f>
        <v>21525</v>
      </c>
      <c r="E51" s="28">
        <f>C51/(_hr-_hs)</f>
        <v>1088.1238369776349</v>
      </c>
      <c r="F51" s="12">
        <f>_Flow*(1+_ALmargin)</f>
        <v>1142.5300288265166</v>
      </c>
      <c r="G51" s="15">
        <v>4.5</v>
      </c>
      <c r="H51" s="17">
        <v>1.3</v>
      </c>
      <c r="I51" s="5">
        <f>[1]!hecalc(9,0,1,_ps*100000,43,_Ts/1,1)/1000</f>
        <v>11.629820262413913</v>
      </c>
      <c r="J51" s="19">
        <v>4.5</v>
      </c>
      <c r="K51" s="17">
        <v>1.3</v>
      </c>
      <c r="L51" s="3">
        <f>[1]!hecalc(9,0,1,_pr*100000,44,_Tr/1,1)/1000</f>
        <v>30.469587670635256</v>
      </c>
      <c r="N51" s="25" t="e">
        <f>(G51-J51)/LN(G51/J51)</f>
        <v>#DIV/0!</v>
      </c>
      <c r="P51" s="22">
        <f>[1]!hecalc(8,0,1,_ps*100000,43,_Ts/1,1)/1000</f>
        <v>3.8903228891107497</v>
      </c>
      <c r="Q51" s="22">
        <f>[1]!hecalc(8,0,1,_pr*100000,44,_Tr/1,1)/1000</f>
        <v>8.070277289775369</v>
      </c>
      <c r="R51" s="23">
        <f>E51*(($I51-$L51)-300*($P51-$Q51))</f>
        <v>1343992.4062528207</v>
      </c>
      <c r="S51" s="23">
        <f>F51*(($I51-$L51)-300*($P51-$Q51))</f>
        <v>1411192.0265654617</v>
      </c>
    </row>
    <row r="52" spans="1:19">
      <c r="A52" s="34">
        <f>R52/$R$53</f>
        <v>8.3347280142718055E-2</v>
      </c>
      <c r="B52" s="33" t="s">
        <v>18</v>
      </c>
      <c r="C52" s="8">
        <f>_Flow*(_hr-_hs)</f>
        <v>38575.890420117023</v>
      </c>
      <c r="D52" s="2">
        <f>_Power*(1+_ALmargin)</f>
        <v>40504.684941122876</v>
      </c>
      <c r="E52" s="35">
        <f>C51/C43*E44</f>
        <v>25</v>
      </c>
      <c r="F52" s="12">
        <f>_Flow*(1+_ALmargin)</f>
        <v>26.25</v>
      </c>
      <c r="G52" s="15">
        <v>4.5</v>
      </c>
      <c r="H52" s="17">
        <v>1.3</v>
      </c>
      <c r="I52" s="3">
        <f>[1]!hecalc(9,0,1,_ps*100000,2,_Ts/1,1)/1000</f>
        <v>30.495094343951845</v>
      </c>
      <c r="J52" s="19">
        <v>300</v>
      </c>
      <c r="K52" s="20">
        <v>1.05</v>
      </c>
      <c r="L52" s="3">
        <f>[1]!hecalc(9,0,1,_pr*100000,2,_Tr/1,1)/1000</f>
        <v>1573.5307111486329</v>
      </c>
      <c r="N52" s="25">
        <f t="shared" ref="N52" si="13">(G52-J52)/LN(G52/J52)</f>
        <v>70.362083651162649</v>
      </c>
      <c r="P52" s="22">
        <f>[1]!hecalc(8,0,1,_ps*100000,2,_Ts/1,1)/1000</f>
        <v>8.0759468774246805</v>
      </c>
      <c r="Q52" s="22">
        <f>[1]!hecalc(8,0,1,_pr*100000,2,_Tr/1,1)/1000</f>
        <v>31.510348399079206</v>
      </c>
      <c r="R52" s="23">
        <f t="shared" ref="R52" si="14">E52*(($I52-$L52)-300*($P52-$Q52))</f>
        <v>137182.12099229189</v>
      </c>
      <c r="S52" s="23">
        <f>F52*(($I52-$L52)-300*($P52-$Q52))</f>
        <v>144041.2270419065</v>
      </c>
    </row>
    <row r="53" spans="1:19">
      <c r="A53" s="31"/>
      <c r="M53" s="1" t="s">
        <v>17</v>
      </c>
      <c r="N53" s="25" t="e">
        <f t="array" ref="N53">SUM(N50:N52*R50:R52)/SUM(R50:R52)</f>
        <v>#DIV/0!</v>
      </c>
      <c r="Q53" s="1" t="s">
        <v>20</v>
      </c>
      <c r="R53" s="23">
        <f>SUM(R50:R52)</f>
        <v>1645909.9895928316</v>
      </c>
      <c r="S53" s="23">
        <f>SUM(S50:S52)</f>
        <v>1728205.489072473</v>
      </c>
    </row>
    <row r="54" spans="1:19">
      <c r="Q54" s="1" t="s">
        <v>15</v>
      </c>
      <c r="R54" s="24">
        <f>SUM(R50:R52)/$P$3</f>
        <v>25064.619130855303</v>
      </c>
      <c r="S54" s="24">
        <f>SUM(S50:S52)/$P$3</f>
        <v>26317.850087398063</v>
      </c>
    </row>
  </sheetData>
  <mergeCells count="36">
    <mergeCell ref="J48:L48"/>
    <mergeCell ref="A48:A49"/>
    <mergeCell ref="B48:B49"/>
    <mergeCell ref="C48:D48"/>
    <mergeCell ref="E48:F48"/>
    <mergeCell ref="G48:I48"/>
    <mergeCell ref="J32:L32"/>
    <mergeCell ref="A40:A41"/>
    <mergeCell ref="B40:B41"/>
    <mergeCell ref="C40:D40"/>
    <mergeCell ref="E40:F40"/>
    <mergeCell ref="G40:I40"/>
    <mergeCell ref="J40:L40"/>
    <mergeCell ref="A32:A33"/>
    <mergeCell ref="B32:B33"/>
    <mergeCell ref="C32:D32"/>
    <mergeCell ref="E32:F32"/>
    <mergeCell ref="G32:I32"/>
    <mergeCell ref="A4:A5"/>
    <mergeCell ref="A12:A13"/>
    <mergeCell ref="A20:A21"/>
    <mergeCell ref="B20:B21"/>
    <mergeCell ref="C20:D20"/>
    <mergeCell ref="E20:F20"/>
    <mergeCell ref="G20:I20"/>
    <mergeCell ref="J20:L20"/>
    <mergeCell ref="B4:B5"/>
    <mergeCell ref="C4:D4"/>
    <mergeCell ref="E4:F4"/>
    <mergeCell ref="G4:I4"/>
    <mergeCell ref="J4:L4"/>
    <mergeCell ref="B12:B13"/>
    <mergeCell ref="C12:D12"/>
    <mergeCell ref="E12:F12"/>
    <mergeCell ref="G12:I12"/>
    <mergeCell ref="J12:L12"/>
  </mergeCells>
  <printOptions horizontalCentered="1" verticalCentered="1"/>
  <pageMargins left="0.23622047244094491" right="0.27559055118110237" top="0.74803149606299213" bottom="0.74803149606299213" header="0.31496062992125984" footer="0.31496062992125984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11</vt:i4>
      </vt:variant>
    </vt:vector>
  </HeadingPairs>
  <TitlesOfParts>
    <vt:vector size="12" baseType="lpstr">
      <vt:lpstr>Feuil1</vt:lpstr>
      <vt:lpstr>_ALmargin</vt:lpstr>
      <vt:lpstr>_Flow</vt:lpstr>
      <vt:lpstr>_FlowAL</vt:lpstr>
      <vt:lpstr>_hr</vt:lpstr>
      <vt:lpstr>_hs</vt:lpstr>
      <vt:lpstr>_Power</vt:lpstr>
      <vt:lpstr>_PowerAL</vt:lpstr>
      <vt:lpstr>_pr</vt:lpstr>
      <vt:lpstr>_ps</vt:lpstr>
      <vt:lpstr>_Tr</vt:lpstr>
      <vt:lpstr>_Ts</vt:lpstr>
    </vt:vector>
  </TitlesOfParts>
  <Company>Air Liquide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Golo Zick : ALFR-0066072-L</dc:creator>
  <cp:lastModifiedBy>Guillaume DELAUTRE : ALFR-0066006-L</cp:lastModifiedBy>
  <cp:lastPrinted>2014-06-02T09:07:48Z</cp:lastPrinted>
  <dcterms:created xsi:type="dcterms:W3CDTF">2013-10-10T09:07:14Z</dcterms:created>
  <dcterms:modified xsi:type="dcterms:W3CDTF">2015-06-08T15:18:48Z</dcterms:modified>
</cp:coreProperties>
</file>