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065" yWindow="-15" windowWidth="13455" windowHeight="8100" tabRatio="716" firstSheet="1" activeTab="4"/>
  </bookViews>
  <sheets>
    <sheet name="Liste des fluides" sheetId="43" state="hidden" r:id="rId1"/>
    <sheet name="Suivi de modif" sheetId="52" r:id="rId2"/>
    <sheet name="T1" sheetId="49" r:id="rId3"/>
    <sheet name="T2" sheetId="50" r:id="rId4"/>
    <sheet name="Recalage Tout T2" sheetId="51" r:id="rId5"/>
  </sheets>
  <externalReferences>
    <externalReference r:id="rId6"/>
  </externalReferences>
  <definedNames>
    <definedName name="Coeff_débit_réelT1">'T1'!$B$11</definedName>
    <definedName name="Coeff_débit_réelT2" localSheetId="3">'T2'!$B$11</definedName>
    <definedName name="D_roueT1">'T1'!$B$6</definedName>
    <definedName name="D_roueT2" localSheetId="3">'T2'!$B$6</definedName>
    <definedName name="Deg_reacT1">'T1'!$B$7</definedName>
    <definedName name="Deg_reacT2" localSheetId="3">'T2'!$B$7</definedName>
    <definedName name="Plage_RendementT1">OFFSET('T1'!$AA$19,,,COUNTA('T1'!$AA:$AA)-4,)</definedName>
    <definedName name="Plage_RendementT2" localSheetId="3">OFFSET('T2'!$Y$19,,,COUNTA('T2'!$Y:$Y)-4,)</definedName>
    <definedName name="Plage_U1C0_T1">OFFSET('T1'!$AE$19,,,COUNTA('T1'!$AE:$AE)-3,)</definedName>
    <definedName name="Plage_U1C0_T2" localSheetId="3">OFFSET('T2'!$AC$19,,,COUNTA('T2'!$AC:$AC)-3,)</definedName>
    <definedName name="Rendement_thT1">'T1'!$AA$18</definedName>
    <definedName name="Rendement_thT2" localSheetId="3">'T2'!$Y$18</definedName>
    <definedName name="U1C0_thT1">'T1'!$AE$17</definedName>
    <definedName name="U1C0_thT2" localSheetId="3">'T2'!$AC$17</definedName>
  </definedNames>
  <calcPr calcId="125725"/>
</workbook>
</file>

<file path=xl/calcChain.xml><?xml version="1.0" encoding="utf-8"?>
<calcChain xmlns="http://schemas.openxmlformats.org/spreadsheetml/2006/main">
  <c r="AO23" i="51"/>
  <c r="AA35" i="50"/>
  <c r="T35"/>
  <c r="O35" l="1"/>
  <c r="I35"/>
  <c r="J35" s="1"/>
  <c r="F35"/>
  <c r="E35"/>
  <c r="C35"/>
  <c r="B35"/>
  <c r="A35"/>
  <c r="R35"/>
  <c r="S35"/>
  <c r="U35"/>
  <c r="V35" s="1"/>
  <c r="AE35"/>
  <c r="AF35"/>
  <c r="AG35"/>
  <c r="X35" l="1"/>
  <c r="AB35" s="1"/>
  <c r="AC35" s="1"/>
  <c r="W35"/>
  <c r="Q35"/>
  <c r="Z35" s="1"/>
  <c r="AH35" s="1"/>
  <c r="AD35"/>
  <c r="AA34"/>
  <c r="T34"/>
  <c r="Y35" l="1"/>
  <c r="O34"/>
  <c r="F34"/>
  <c r="E34"/>
  <c r="C34"/>
  <c r="B34"/>
  <c r="A34"/>
  <c r="R34"/>
  <c r="S34"/>
  <c r="U34"/>
  <c r="V34" s="1"/>
  <c r="AE34"/>
  <c r="AF34"/>
  <c r="AG34"/>
  <c r="W34" l="1"/>
  <c r="Y34" s="1"/>
  <c r="X34"/>
  <c r="AB34" s="1"/>
  <c r="AC34" s="1"/>
  <c r="Q34"/>
  <c r="AD34"/>
  <c r="I34"/>
  <c r="J34" s="1"/>
  <c r="AA33"/>
  <c r="T33"/>
  <c r="Z34" l="1"/>
  <c r="AH34" s="1"/>
  <c r="O33"/>
  <c r="F33"/>
  <c r="E33"/>
  <c r="C33"/>
  <c r="B33"/>
  <c r="A33"/>
  <c r="R33"/>
  <c r="S33"/>
  <c r="U33"/>
  <c r="V33" s="1"/>
  <c r="AE33"/>
  <c r="AF33"/>
  <c r="AG33"/>
  <c r="X33" l="1"/>
  <c r="AB33" s="1"/>
  <c r="AC33" s="1"/>
  <c r="W33"/>
  <c r="Q33"/>
  <c r="AD33"/>
  <c r="I33"/>
  <c r="J33" s="1"/>
  <c r="AA32"/>
  <c r="T32"/>
  <c r="Y33" l="1"/>
  <c r="Z33"/>
  <c r="AH33" s="1"/>
  <c r="O32"/>
  <c r="I32"/>
  <c r="J32" s="1"/>
  <c r="F32"/>
  <c r="E32"/>
  <c r="C32"/>
  <c r="B32"/>
  <c r="A32"/>
  <c r="R32"/>
  <c r="S32"/>
  <c r="U32"/>
  <c r="V32" s="1"/>
  <c r="AE32"/>
  <c r="AF32"/>
  <c r="AG32"/>
  <c r="W32" l="1"/>
  <c r="Y32" s="1"/>
  <c r="X32"/>
  <c r="AB32" s="1"/>
  <c r="AC32" s="1"/>
  <c r="Q32"/>
  <c r="AD32"/>
  <c r="AA31"/>
  <c r="T31"/>
  <c r="Z32" l="1"/>
  <c r="AH32" s="1"/>
  <c r="O31"/>
  <c r="E31"/>
  <c r="C31"/>
  <c r="B31"/>
  <c r="A31"/>
  <c r="R31"/>
  <c r="S31"/>
  <c r="U31"/>
  <c r="V31" s="1"/>
  <c r="AE31"/>
  <c r="AF31"/>
  <c r="AG31"/>
  <c r="X31" l="1"/>
  <c r="AB31" s="1"/>
  <c r="AC31" s="1"/>
  <c r="W31"/>
  <c r="AD31"/>
  <c r="I31"/>
  <c r="J31" s="1"/>
  <c r="F31"/>
  <c r="Q31"/>
  <c r="Z31" s="1"/>
  <c r="AH31" s="1"/>
  <c r="AA30"/>
  <c r="T30"/>
  <c r="Y31" l="1"/>
  <c r="O30"/>
  <c r="J30"/>
  <c r="I30"/>
  <c r="E30"/>
  <c r="C30"/>
  <c r="B30"/>
  <c r="A30"/>
  <c r="AK29"/>
  <c r="AL29" s="1"/>
  <c r="AJ29"/>
  <c r="AJ30" s="1"/>
  <c r="R30"/>
  <c r="S30"/>
  <c r="U30"/>
  <c r="V30" s="1"/>
  <c r="AE30"/>
  <c r="AF30"/>
  <c r="AG30"/>
  <c r="W30" l="1"/>
  <c r="Y30" s="1"/>
  <c r="X30"/>
  <c r="AB30" s="1"/>
  <c r="AC30" s="1"/>
  <c r="Q30"/>
  <c r="F30"/>
  <c r="AJ31"/>
  <c r="AK30"/>
  <c r="AL30" s="1"/>
  <c r="AD30"/>
  <c r="AA29"/>
  <c r="T29"/>
  <c r="AJ32" l="1"/>
  <c r="AK31"/>
  <c r="AL31" s="1"/>
  <c r="Z30"/>
  <c r="AH30" s="1"/>
  <c r="O29"/>
  <c r="F29"/>
  <c r="E29"/>
  <c r="C29"/>
  <c r="B29"/>
  <c r="A29"/>
  <c r="AJ28"/>
  <c r="AK28" s="1"/>
  <c r="AL28" s="1"/>
  <c r="AA28"/>
  <c r="R29"/>
  <c r="S29"/>
  <c r="U29"/>
  <c r="V29" s="1"/>
  <c r="AE29"/>
  <c r="AF29"/>
  <c r="AG29"/>
  <c r="T28"/>
  <c r="W29" l="1"/>
  <c r="Y29" s="1"/>
  <c r="X29"/>
  <c r="AB29" s="1"/>
  <c r="AC29" s="1"/>
  <c r="Q29"/>
  <c r="AD29"/>
  <c r="AJ33"/>
  <c r="AK32"/>
  <c r="AL32" s="1"/>
  <c r="I29"/>
  <c r="J29" s="1"/>
  <c r="O28"/>
  <c r="J28"/>
  <c r="I28"/>
  <c r="F28"/>
  <c r="E28"/>
  <c r="C28"/>
  <c r="B28"/>
  <c r="A28"/>
  <c r="R28"/>
  <c r="S28"/>
  <c r="U28"/>
  <c r="V28" s="1"/>
  <c r="AE28"/>
  <c r="AF28"/>
  <c r="AG28"/>
  <c r="AI35" i="49"/>
  <c r="AH35"/>
  <c r="AG35"/>
  <c r="Z29" i="50" l="1"/>
  <c r="AH29" s="1"/>
  <c r="AJ34"/>
  <c r="AK33"/>
  <c r="AL33" s="1"/>
  <c r="W28"/>
  <c r="X28"/>
  <c r="AB28" s="1"/>
  <c r="AC28" s="1"/>
  <c r="Q28"/>
  <c r="AD28"/>
  <c r="AC35" i="49"/>
  <c r="W35"/>
  <c r="U35"/>
  <c r="T35"/>
  <c r="AJ35" i="50" l="1"/>
  <c r="AK35" s="1"/>
  <c r="AL35" s="1"/>
  <c r="AK34"/>
  <c r="AL34" s="1"/>
  <c r="Y28"/>
  <c r="Z28"/>
  <c r="AH28" s="1"/>
  <c r="S35" i="49"/>
  <c r="P35"/>
  <c r="J35"/>
  <c r="K35" s="1"/>
  <c r="H35"/>
  <c r="F35"/>
  <c r="V35"/>
  <c r="X35"/>
  <c r="AI34"/>
  <c r="AH34"/>
  <c r="AG34"/>
  <c r="Z35" l="1"/>
  <c r="AD35" s="1"/>
  <c r="AE35" s="1"/>
  <c r="Y35"/>
  <c r="AF35"/>
  <c r="AB35"/>
  <c r="AJ35" s="1"/>
  <c r="AC34"/>
  <c r="W34"/>
  <c r="U34"/>
  <c r="T34"/>
  <c r="AA35" l="1"/>
  <c r="S34"/>
  <c r="P34"/>
  <c r="H34"/>
  <c r="F34"/>
  <c r="V34"/>
  <c r="X34"/>
  <c r="AI33"/>
  <c r="AH33"/>
  <c r="AG33"/>
  <c r="Z34" l="1"/>
  <c r="AD34" s="1"/>
  <c r="AE34" s="1"/>
  <c r="Y34"/>
  <c r="AA34" s="1"/>
  <c r="AF34"/>
  <c r="J34"/>
  <c r="K34" s="1"/>
  <c r="AC33"/>
  <c r="W33"/>
  <c r="U33"/>
  <c r="T33"/>
  <c r="AB34" l="1"/>
  <c r="AJ34" s="1"/>
  <c r="S33"/>
  <c r="P33"/>
  <c r="K33"/>
  <c r="J33"/>
  <c r="H33"/>
  <c r="F33"/>
  <c r="V33"/>
  <c r="X33"/>
  <c r="AI32"/>
  <c r="AH32"/>
  <c r="AG32"/>
  <c r="Z33" l="1"/>
  <c r="AD33" s="1"/>
  <c r="AE33" s="1"/>
  <c r="Y33"/>
  <c r="AF33"/>
  <c r="AB33"/>
  <c r="AJ33" s="1"/>
  <c r="AC32"/>
  <c r="W32"/>
  <c r="U32"/>
  <c r="T32"/>
  <c r="AA33" l="1"/>
  <c r="S32"/>
  <c r="P32"/>
  <c r="H32"/>
  <c r="F32"/>
  <c r="V32"/>
  <c r="X32"/>
  <c r="AI31"/>
  <c r="AH31"/>
  <c r="AG31"/>
  <c r="Z32" l="1"/>
  <c r="AD32" s="1"/>
  <c r="AE32" s="1"/>
  <c r="Y32"/>
  <c r="AF32"/>
  <c r="AB32"/>
  <c r="AJ32" s="1"/>
  <c r="J32"/>
  <c r="K32" s="1"/>
  <c r="AC31"/>
  <c r="W31"/>
  <c r="U31"/>
  <c r="T31"/>
  <c r="AA32" l="1"/>
  <c r="S31"/>
  <c r="P31"/>
  <c r="H31"/>
  <c r="F31"/>
  <c r="V31"/>
  <c r="X31"/>
  <c r="AI30"/>
  <c r="AH30"/>
  <c r="AG30"/>
  <c r="Z31" l="1"/>
  <c r="AD31" s="1"/>
  <c r="AE31" s="1"/>
  <c r="Y31"/>
  <c r="AB31"/>
  <c r="AJ31" s="1"/>
  <c r="AF31"/>
  <c r="J31"/>
  <c r="K31" s="1"/>
  <c r="AC30"/>
  <c r="W30"/>
  <c r="U30"/>
  <c r="T30"/>
  <c r="AA31" l="1"/>
  <c r="S30"/>
  <c r="P30"/>
  <c r="H30"/>
  <c r="F30"/>
  <c r="AL29"/>
  <c r="AL30" s="1"/>
  <c r="V30"/>
  <c r="X30"/>
  <c r="AI29"/>
  <c r="AH29"/>
  <c r="AG29"/>
  <c r="Z30" l="1"/>
  <c r="AD30" s="1"/>
  <c r="AE30" s="1"/>
  <c r="Y30"/>
  <c r="AL31"/>
  <c r="AM30"/>
  <c r="AN30" s="1"/>
  <c r="AF30"/>
  <c r="AB30"/>
  <c r="AJ30" s="1"/>
  <c r="AM29"/>
  <c r="AN29" s="1"/>
  <c r="J30"/>
  <c r="K30" s="1"/>
  <c r="AC29"/>
  <c r="W29"/>
  <c r="U29"/>
  <c r="T29"/>
  <c r="AL32" l="1"/>
  <c r="AM31"/>
  <c r="AN31" s="1"/>
  <c r="AA30"/>
  <c r="S29"/>
  <c r="P29"/>
  <c r="K29"/>
  <c r="J29"/>
  <c r="H29"/>
  <c r="F29"/>
  <c r="AN28"/>
  <c r="AM28"/>
  <c r="AL28"/>
  <c r="V29"/>
  <c r="X29"/>
  <c r="AI28"/>
  <c r="AH28"/>
  <c r="AG28"/>
  <c r="Z29" l="1"/>
  <c r="AD29" s="1"/>
  <c r="AE29" s="1"/>
  <c r="Y29"/>
  <c r="AL33"/>
  <c r="AM32"/>
  <c r="AN32" s="1"/>
  <c r="AF29"/>
  <c r="AB29"/>
  <c r="AJ29" s="1"/>
  <c r="AC28"/>
  <c r="W28"/>
  <c r="U28"/>
  <c r="T28"/>
  <c r="AL34" l="1"/>
  <c r="AM33"/>
  <c r="AN33" s="1"/>
  <c r="AA29"/>
  <c r="S28"/>
  <c r="P28"/>
  <c r="H28"/>
  <c r="F28"/>
  <c r="E26" i="50"/>
  <c r="E27"/>
  <c r="E20"/>
  <c r="E21"/>
  <c r="E22"/>
  <c r="E23"/>
  <c r="E24"/>
  <c r="E25"/>
  <c r="E19"/>
  <c r="AL27"/>
  <c r="AK27"/>
  <c r="AJ27"/>
  <c r="V28" i="49"/>
  <c r="X28"/>
  <c r="AG27" i="50"/>
  <c r="AF27"/>
  <c r="AE27"/>
  <c r="AL35" i="49" l="1"/>
  <c r="AM35" s="1"/>
  <c r="AN35" s="1"/>
  <c r="AM34"/>
  <c r="AN34" s="1"/>
  <c r="Z28"/>
  <c r="AD28" s="1"/>
  <c r="AE28" s="1"/>
  <c r="Y28"/>
  <c r="AB28" s="1"/>
  <c r="AJ28" s="1"/>
  <c r="AF28"/>
  <c r="J28"/>
  <c r="K28" s="1"/>
  <c r="AD27" i="50"/>
  <c r="AA27"/>
  <c r="U27"/>
  <c r="V27" s="1"/>
  <c r="T27"/>
  <c r="S27"/>
  <c r="R27"/>
  <c r="AA28" i="49" l="1"/>
  <c r="W27" i="50"/>
  <c r="X27"/>
  <c r="AB27" s="1"/>
  <c r="AC27" s="1"/>
  <c r="Q27"/>
  <c r="O27"/>
  <c r="J27"/>
  <c r="I27"/>
  <c r="F27"/>
  <c r="C27"/>
  <c r="B27"/>
  <c r="A27"/>
  <c r="AL26"/>
  <c r="AK26"/>
  <c r="AJ26"/>
  <c r="AG26"/>
  <c r="AF26"/>
  <c r="AE26"/>
  <c r="Y27" l="1"/>
  <c r="Z27"/>
  <c r="AH27" s="1"/>
  <c r="AD26"/>
  <c r="AA26"/>
  <c r="U26"/>
  <c r="V26" s="1"/>
  <c r="T26"/>
  <c r="S26"/>
  <c r="R26"/>
  <c r="X26" l="1"/>
  <c r="AB26" s="1"/>
  <c r="AC26" s="1"/>
  <c r="W26"/>
  <c r="Q26"/>
  <c r="O26"/>
  <c r="J26"/>
  <c r="I26"/>
  <c r="F26"/>
  <c r="C26"/>
  <c r="B26"/>
  <c r="A26"/>
  <c r="B25"/>
  <c r="C25"/>
  <c r="A25"/>
  <c r="AL25"/>
  <c r="AK25"/>
  <c r="AJ25"/>
  <c r="AG25"/>
  <c r="AF25"/>
  <c r="AE25"/>
  <c r="Z26" l="1"/>
  <c r="AH26" s="1"/>
  <c r="Y26"/>
  <c r="AD25"/>
  <c r="AA25"/>
  <c r="U25"/>
  <c r="V25" s="1"/>
  <c r="T25"/>
  <c r="S25"/>
  <c r="R25"/>
  <c r="X25" l="1"/>
  <c r="AB25" s="1"/>
  <c r="AC25" s="1"/>
  <c r="W25"/>
  <c r="Q25"/>
  <c r="O25"/>
  <c r="J25"/>
  <c r="I25"/>
  <c r="F25"/>
  <c r="AL27" i="49"/>
  <c r="AM27" s="1"/>
  <c r="AN27" s="1"/>
  <c r="AI27"/>
  <c r="AH27"/>
  <c r="AG27"/>
  <c r="Z25" i="50" l="1"/>
  <c r="AH25" s="1"/>
  <c r="Y25"/>
  <c r="AC27" i="49"/>
  <c r="W27"/>
  <c r="U27"/>
  <c r="T27"/>
  <c r="S27" l="1"/>
  <c r="P27"/>
  <c r="J27"/>
  <c r="K27" s="1"/>
  <c r="H27"/>
  <c r="F27"/>
  <c r="AN26"/>
  <c r="AM26"/>
  <c r="AL26"/>
  <c r="V27"/>
  <c r="X27"/>
  <c r="AI26"/>
  <c r="AH26"/>
  <c r="AG26"/>
  <c r="Z27" l="1"/>
  <c r="AD27" s="1"/>
  <c r="AE27" s="1"/>
  <c r="Y27"/>
  <c r="AF27"/>
  <c r="AB27"/>
  <c r="AJ27" s="1"/>
  <c r="AC26"/>
  <c r="W26"/>
  <c r="U26"/>
  <c r="T26"/>
  <c r="AA27" l="1"/>
  <c r="S26"/>
  <c r="P26"/>
  <c r="H26"/>
  <c r="J26" s="1"/>
  <c r="K26" s="1"/>
  <c r="F26"/>
  <c r="AL25"/>
  <c r="AM25" s="1"/>
  <c r="AN25" s="1"/>
  <c r="V26"/>
  <c r="X26"/>
  <c r="AI25"/>
  <c r="AH25"/>
  <c r="AG25"/>
  <c r="Z26" l="1"/>
  <c r="AD26" s="1"/>
  <c r="AE26" s="1"/>
  <c r="Y26"/>
  <c r="AB26" s="1"/>
  <c r="AJ26" s="1"/>
  <c r="AF26"/>
  <c r="AC25"/>
  <c r="W25"/>
  <c r="U25"/>
  <c r="T25"/>
  <c r="AA26" l="1"/>
  <c r="S25"/>
  <c r="P25"/>
  <c r="H25"/>
  <c r="F25"/>
  <c r="AO38" i="51"/>
  <c r="AK38"/>
  <c r="AC38"/>
  <c r="AB38"/>
  <c r="AA38"/>
  <c r="V25" i="49"/>
  <c r="X25"/>
  <c r="Z25" l="1"/>
  <c r="AD25" s="1"/>
  <c r="AE25" s="1"/>
  <c r="Y25"/>
  <c r="AF25"/>
  <c r="J25"/>
  <c r="K25" s="1"/>
  <c r="T38" i="51"/>
  <c r="S38"/>
  <c r="R38"/>
  <c r="Q38"/>
  <c r="P38"/>
  <c r="Z38" s="1"/>
  <c r="O38"/>
  <c r="N38"/>
  <c r="M38"/>
  <c r="V38"/>
  <c r="AD38"/>
  <c r="AE38"/>
  <c r="AF38"/>
  <c r="AA25" i="49" l="1"/>
  <c r="AB25"/>
  <c r="AJ25" s="1"/>
  <c r="AG38" i="51"/>
  <c r="AH38" s="1"/>
  <c r="AI38" s="1"/>
  <c r="AJ38" s="1"/>
  <c r="AL38" s="1"/>
  <c r="W38"/>
  <c r="X38"/>
  <c r="Y38" s="1"/>
  <c r="H38"/>
  <c r="E38"/>
  <c r="F38" s="1"/>
  <c r="G38" s="1"/>
  <c r="D38"/>
  <c r="C38"/>
  <c r="B38"/>
  <c r="A38"/>
  <c r="AO37"/>
  <c r="I38"/>
  <c r="J38" l="1"/>
  <c r="K38"/>
  <c r="L38" s="1"/>
  <c r="AM38"/>
  <c r="AK37"/>
  <c r="AN38"/>
  <c r="AP38" l="1"/>
  <c r="AC37"/>
  <c r="AB37"/>
  <c r="AA37"/>
  <c r="S37" l="1"/>
  <c r="R37"/>
  <c r="Q37"/>
  <c r="P37"/>
  <c r="Z37" s="1"/>
  <c r="O37"/>
  <c r="T37" s="1"/>
  <c r="N37"/>
  <c r="M37"/>
  <c r="V37"/>
  <c r="AD37"/>
  <c r="AE37"/>
  <c r="AF37"/>
  <c r="AG37" l="1"/>
  <c r="AH37" s="1"/>
  <c r="AI37" s="1"/>
  <c r="AJ37" s="1"/>
  <c r="W37"/>
  <c r="X37" s="1"/>
  <c r="Y37" s="1"/>
  <c r="H37"/>
  <c r="F37"/>
  <c r="G37" s="1"/>
  <c r="E37"/>
  <c r="D37"/>
  <c r="C37"/>
  <c r="B37"/>
  <c r="A37"/>
  <c r="AO36"/>
  <c r="I37"/>
  <c r="J37" l="1"/>
  <c r="K37"/>
  <c r="L37" s="1"/>
  <c r="AL37"/>
  <c r="AM37"/>
  <c r="AK36"/>
  <c r="AN37"/>
  <c r="AP37" l="1"/>
  <c r="AC36"/>
  <c r="AA36"/>
  <c r="AB36" s="1"/>
  <c r="T36" l="1"/>
  <c r="S36"/>
  <c r="R36"/>
  <c r="Q36"/>
  <c r="P36"/>
  <c r="Z36" s="1"/>
  <c r="O36"/>
  <c r="N36"/>
  <c r="M36"/>
  <c r="V36"/>
  <c r="AD36"/>
  <c r="AE36"/>
  <c r="AF36"/>
  <c r="AG36" l="1"/>
  <c r="AH36" s="1"/>
  <c r="AI36" s="1"/>
  <c r="AJ36" s="1"/>
  <c r="W36"/>
  <c r="X36" s="1"/>
  <c r="Y36" s="1"/>
  <c r="H36"/>
  <c r="F36"/>
  <c r="G36" s="1"/>
  <c r="E36"/>
  <c r="D36"/>
  <c r="C36"/>
  <c r="B36"/>
  <c r="A36"/>
  <c r="AO35"/>
  <c r="I36"/>
  <c r="J36" l="1"/>
  <c r="K36"/>
  <c r="L36" s="1"/>
  <c r="AL36"/>
  <c r="AM36"/>
  <c r="AK35"/>
  <c r="AN36"/>
  <c r="AP36" l="1"/>
  <c r="AC35"/>
  <c r="AB35"/>
  <c r="AA35"/>
  <c r="T35" l="1"/>
  <c r="S35"/>
  <c r="R35"/>
  <c r="Q35"/>
  <c r="P35"/>
  <c r="Z35" s="1"/>
  <c r="O35"/>
  <c r="N35"/>
  <c r="M35"/>
  <c r="V35"/>
  <c r="AD35"/>
  <c r="AE35"/>
  <c r="AF35"/>
  <c r="AG35" l="1"/>
  <c r="AH35" s="1"/>
  <c r="AI35" s="1"/>
  <c r="AJ35" s="1"/>
  <c r="W35"/>
  <c r="X35" s="1"/>
  <c r="Y35" s="1"/>
  <c r="H35"/>
  <c r="F35"/>
  <c r="G35" s="1"/>
  <c r="E35"/>
  <c r="D35"/>
  <c r="C35"/>
  <c r="B35"/>
  <c r="A35"/>
  <c r="AO34"/>
  <c r="I35"/>
  <c r="J35" l="1"/>
  <c r="K35"/>
  <c r="L35" s="1"/>
  <c r="AL35"/>
  <c r="AM35"/>
  <c r="AK34"/>
  <c r="AN35"/>
  <c r="AP35" l="1"/>
  <c r="AC34"/>
  <c r="AB34"/>
  <c r="AA34"/>
  <c r="S34" l="1"/>
  <c r="R34"/>
  <c r="Q34"/>
  <c r="P34"/>
  <c r="Z34" s="1"/>
  <c r="O34"/>
  <c r="T34" s="1"/>
  <c r="N34"/>
  <c r="M34"/>
  <c r="V34"/>
  <c r="AD34"/>
  <c r="AE34"/>
  <c r="AF34"/>
  <c r="AG34" l="1"/>
  <c r="AH34" s="1"/>
  <c r="AI34" s="1"/>
  <c r="AJ34" s="1"/>
  <c r="AL34" s="1"/>
  <c r="W34"/>
  <c r="X34"/>
  <c r="Y34" s="1"/>
  <c r="H34"/>
  <c r="E34"/>
  <c r="F34" s="1"/>
  <c r="G34" s="1"/>
  <c r="D34"/>
  <c r="C34"/>
  <c r="B34"/>
  <c r="A34"/>
  <c r="AO33"/>
  <c r="I34"/>
  <c r="J34" l="1"/>
  <c r="K34"/>
  <c r="L34" s="1"/>
  <c r="AM34"/>
  <c r="AK33"/>
  <c r="AN34"/>
  <c r="AP34" l="1"/>
  <c r="AC33"/>
  <c r="AA33"/>
  <c r="AB33" s="1"/>
  <c r="S33" l="1"/>
  <c r="R33"/>
  <c r="Q33"/>
  <c r="P33"/>
  <c r="Z33" s="1"/>
  <c r="O33"/>
  <c r="T33" s="1"/>
  <c r="N33"/>
  <c r="M33"/>
  <c r="V33"/>
  <c r="AD33"/>
  <c r="AE33"/>
  <c r="AF33"/>
  <c r="AG33" l="1"/>
  <c r="AH33" s="1"/>
  <c r="AI33" s="1"/>
  <c r="AJ33" s="1"/>
  <c r="AL33" s="1"/>
  <c r="W33"/>
  <c r="X33" s="1"/>
  <c r="Y33" s="1"/>
  <c r="H33"/>
  <c r="E33"/>
  <c r="F33" s="1"/>
  <c r="G33" s="1"/>
  <c r="D33"/>
  <c r="C33"/>
  <c r="B33"/>
  <c r="A33"/>
  <c r="AO32"/>
  <c r="I33"/>
  <c r="J33" l="1"/>
  <c r="K33"/>
  <c r="L33" s="1"/>
  <c r="AM33"/>
  <c r="AK32"/>
  <c r="AN33"/>
  <c r="AP33" l="1"/>
  <c r="AC32"/>
  <c r="AA32"/>
  <c r="AB32" s="1"/>
  <c r="T32" l="1"/>
  <c r="S32"/>
  <c r="R32"/>
  <c r="Q32"/>
  <c r="P32"/>
  <c r="Z32" s="1"/>
  <c r="O32"/>
  <c r="N32"/>
  <c r="M32"/>
  <c r="V32"/>
  <c r="AD32"/>
  <c r="AE32"/>
  <c r="AF32"/>
  <c r="AG32" l="1"/>
  <c r="AH32" s="1"/>
  <c r="AI32" s="1"/>
  <c r="AJ32" s="1"/>
  <c r="W32"/>
  <c r="X32" s="1"/>
  <c r="Y32" s="1"/>
  <c r="H32"/>
  <c r="E32"/>
  <c r="F32" s="1"/>
  <c r="G32" s="1"/>
  <c r="D32"/>
  <c r="C32"/>
  <c r="B32"/>
  <c r="A32"/>
  <c r="AO31"/>
  <c r="I32"/>
  <c r="J32" l="1"/>
  <c r="K32"/>
  <c r="L32" s="1"/>
  <c r="AL32"/>
  <c r="AM32"/>
  <c r="AK31"/>
  <c r="AN32"/>
  <c r="AP32" l="1"/>
  <c r="AC31"/>
  <c r="AB31"/>
  <c r="AA31"/>
  <c r="T31" l="1"/>
  <c r="S31"/>
  <c r="R31"/>
  <c r="Q31"/>
  <c r="P31"/>
  <c r="Z31" s="1"/>
  <c r="O31"/>
  <c r="N31"/>
  <c r="M31"/>
  <c r="V31"/>
  <c r="AD31"/>
  <c r="AE31"/>
  <c r="AF31"/>
  <c r="AG31" l="1"/>
  <c r="AH31" s="1"/>
  <c r="AI31" s="1"/>
  <c r="AJ31" s="1"/>
  <c r="W31"/>
  <c r="X31" s="1"/>
  <c r="Y31" s="1"/>
  <c r="H31"/>
  <c r="F31"/>
  <c r="G31" s="1"/>
  <c r="E31"/>
  <c r="D31"/>
  <c r="C31"/>
  <c r="B31"/>
  <c r="A31"/>
  <c r="AO30"/>
  <c r="I31"/>
  <c r="J31" l="1"/>
  <c r="K31"/>
  <c r="L31" s="1"/>
  <c r="AL31"/>
  <c r="AM31"/>
  <c r="AK30"/>
  <c r="AN31"/>
  <c r="AP31" l="1"/>
  <c r="AC30"/>
  <c r="AB30"/>
  <c r="AA30"/>
  <c r="S30" l="1"/>
  <c r="R30"/>
  <c r="Q30"/>
  <c r="P30"/>
  <c r="Z30" s="1"/>
  <c r="O30"/>
  <c r="T30" s="1"/>
  <c r="N30"/>
  <c r="M30"/>
  <c r="V30"/>
  <c r="AD30"/>
  <c r="AE30"/>
  <c r="AF30"/>
  <c r="AG30" l="1"/>
  <c r="AH30" s="1"/>
  <c r="AI30" s="1"/>
  <c r="AJ30" s="1"/>
  <c r="AL30" s="1"/>
  <c r="W30"/>
  <c r="X30" s="1"/>
  <c r="Y30" s="1"/>
  <c r="H30"/>
  <c r="E30"/>
  <c r="F30" s="1"/>
  <c r="G30" s="1"/>
  <c r="D30"/>
  <c r="C30"/>
  <c r="B30"/>
  <c r="A30"/>
  <c r="AO29"/>
  <c r="I30"/>
  <c r="J30" l="1"/>
  <c r="K30"/>
  <c r="L30" s="1"/>
  <c r="AM30"/>
  <c r="AK29"/>
  <c r="AN30"/>
  <c r="AP30" l="1"/>
  <c r="AC29"/>
  <c r="AB29"/>
  <c r="AA29"/>
  <c r="S29" l="1"/>
  <c r="R29"/>
  <c r="Q29"/>
  <c r="P29"/>
  <c r="Z29" s="1"/>
  <c r="O29"/>
  <c r="T29" s="1"/>
  <c r="N29"/>
  <c r="M29"/>
  <c r="V29"/>
  <c r="AD29"/>
  <c r="AE29"/>
  <c r="AF29"/>
  <c r="AG29" l="1"/>
  <c r="AH29" s="1"/>
  <c r="AI29" s="1"/>
  <c r="AJ29" s="1"/>
  <c r="W29"/>
  <c r="X29" s="1"/>
  <c r="Y29" s="1"/>
  <c r="H29"/>
  <c r="E29"/>
  <c r="F29" s="1"/>
  <c r="G29" s="1"/>
  <c r="D29"/>
  <c r="C29"/>
  <c r="B29"/>
  <c r="A29"/>
  <c r="AO28"/>
  <c r="I29"/>
  <c r="J29" l="1"/>
  <c r="K29"/>
  <c r="L29" s="1"/>
  <c r="AL29"/>
  <c r="AM29"/>
  <c r="AK28"/>
  <c r="AN29"/>
  <c r="AP29" l="1"/>
  <c r="AC28"/>
  <c r="AB28"/>
  <c r="AA28"/>
  <c r="T28" l="1"/>
  <c r="S28"/>
  <c r="R28"/>
  <c r="Q28"/>
  <c r="P28"/>
  <c r="Z28" s="1"/>
  <c r="O28"/>
  <c r="N28"/>
  <c r="M28"/>
  <c r="V28"/>
  <c r="AD28"/>
  <c r="AE28"/>
  <c r="AF28"/>
  <c r="AG28" l="1"/>
  <c r="AH28" s="1"/>
  <c r="AI28" s="1"/>
  <c r="AJ28" s="1"/>
  <c r="AL28" s="1"/>
  <c r="W28"/>
  <c r="X28" s="1"/>
  <c r="Y28" s="1"/>
  <c r="H28"/>
  <c r="E28"/>
  <c r="F28" s="1"/>
  <c r="G28" s="1"/>
  <c r="D28"/>
  <c r="C28"/>
  <c r="B28"/>
  <c r="A28"/>
  <c r="AO27"/>
  <c r="I28"/>
  <c r="J28" l="1"/>
  <c r="K28"/>
  <c r="L28" s="1"/>
  <c r="AM28"/>
  <c r="AK27"/>
  <c r="AN28"/>
  <c r="AP28" l="1"/>
  <c r="AC27"/>
  <c r="AB27"/>
  <c r="AA27"/>
  <c r="S27" l="1"/>
  <c r="R27"/>
  <c r="Q27"/>
  <c r="P27"/>
  <c r="Z27" s="1"/>
  <c r="O27"/>
  <c r="N27"/>
  <c r="M27"/>
  <c r="V27"/>
  <c r="AD27"/>
  <c r="AE27"/>
  <c r="AF27"/>
  <c r="T27" l="1"/>
  <c r="AG27"/>
  <c r="AH27" s="1"/>
  <c r="AI27" s="1"/>
  <c r="AJ27" s="1"/>
  <c r="AL27" s="1"/>
  <c r="W27"/>
  <c r="X27" s="1"/>
  <c r="Y27" s="1"/>
  <c r="H27"/>
  <c r="E27"/>
  <c r="F27" s="1"/>
  <c r="G27" s="1"/>
  <c r="D27"/>
  <c r="C27"/>
  <c r="B27"/>
  <c r="A27"/>
  <c r="AO26"/>
  <c r="I27"/>
  <c r="J27" l="1"/>
  <c r="K27"/>
  <c r="L27" s="1"/>
  <c r="AM27"/>
  <c r="AK26"/>
  <c r="AN27"/>
  <c r="AP27" l="1"/>
  <c r="AC26"/>
  <c r="AA26"/>
  <c r="AB26" s="1"/>
  <c r="S26" l="1"/>
  <c r="R26"/>
  <c r="Q26"/>
  <c r="P26"/>
  <c r="Z26" s="1"/>
  <c r="O26"/>
  <c r="T26" s="1"/>
  <c r="N26"/>
  <c r="M26"/>
  <c r="V26"/>
  <c r="AD26"/>
  <c r="AE26"/>
  <c r="AF26"/>
  <c r="AG26" l="1"/>
  <c r="AH26" s="1"/>
  <c r="AI26" s="1"/>
  <c r="AJ26" s="1"/>
  <c r="AL26" s="1"/>
  <c r="X26"/>
  <c r="Y26" s="1"/>
  <c r="H26"/>
  <c r="E26"/>
  <c r="F26" s="1"/>
  <c r="G26" s="1"/>
  <c r="D26"/>
  <c r="C26"/>
  <c r="B26"/>
  <c r="A26"/>
  <c r="AO25"/>
  <c r="I26"/>
  <c r="J26" l="1"/>
  <c r="K26"/>
  <c r="L26" s="1"/>
  <c r="AM26"/>
  <c r="AK25"/>
  <c r="AN26"/>
  <c r="AP26" l="1"/>
  <c r="AC25"/>
  <c r="AA25"/>
  <c r="AB25" s="1"/>
  <c r="S25" l="1"/>
  <c r="R25"/>
  <c r="Q25"/>
  <c r="P25"/>
  <c r="Z25" s="1"/>
  <c r="O25"/>
  <c r="T25" s="1"/>
  <c r="N25"/>
  <c r="M25"/>
  <c r="V25"/>
  <c r="AD25"/>
  <c r="AE25"/>
  <c r="AF25"/>
  <c r="AG25" l="1"/>
  <c r="AH25" s="1"/>
  <c r="AI25" s="1"/>
  <c r="AJ25" s="1"/>
  <c r="AL25" s="1"/>
  <c r="W25"/>
  <c r="X25" s="1"/>
  <c r="Y25" s="1"/>
  <c r="H25"/>
  <c r="E25"/>
  <c r="F25" s="1"/>
  <c r="G25" s="1"/>
  <c r="D25"/>
  <c r="C25"/>
  <c r="B25"/>
  <c r="A25"/>
  <c r="AO24"/>
  <c r="I25"/>
  <c r="J25" l="1"/>
  <c r="K25"/>
  <c r="L25" s="1"/>
  <c r="AM25"/>
  <c r="AK24"/>
  <c r="AN25"/>
  <c r="AP25" l="1"/>
  <c r="AC24"/>
  <c r="AB24"/>
  <c r="AA24"/>
  <c r="S24" l="1"/>
  <c r="R24"/>
  <c r="Q24"/>
  <c r="P24"/>
  <c r="Z24" s="1"/>
  <c r="O24"/>
  <c r="N24"/>
  <c r="M24"/>
  <c r="V24"/>
  <c r="AD24"/>
  <c r="AE24"/>
  <c r="AF24"/>
  <c r="T24" l="1"/>
  <c r="AG24"/>
  <c r="AH24" s="1"/>
  <c r="AI24" s="1"/>
  <c r="AJ24" s="1"/>
  <c r="W24"/>
  <c r="X24" s="1"/>
  <c r="Y24" s="1"/>
  <c r="H24"/>
  <c r="E24"/>
  <c r="F24" s="1"/>
  <c r="G24" s="1"/>
  <c r="D24"/>
  <c r="C24"/>
  <c r="B24"/>
  <c r="A24"/>
  <c r="L19"/>
  <c r="L20"/>
  <c r="L21"/>
  <c r="L22"/>
  <c r="L23"/>
  <c r="L18"/>
  <c r="K19"/>
  <c r="K20"/>
  <c r="K21"/>
  <c r="K22"/>
  <c r="K23"/>
  <c r="K18"/>
  <c r="AJ24" i="50"/>
  <c r="AD24"/>
  <c r="AA24"/>
  <c r="I24" i="51"/>
  <c r="AF24" i="50"/>
  <c r="U24"/>
  <c r="AG24"/>
  <c r="R24"/>
  <c r="S24"/>
  <c r="AE24"/>
  <c r="T24"/>
  <c r="AL24" i="51" l="1"/>
  <c r="J24"/>
  <c r="K24"/>
  <c r="L24" s="1"/>
  <c r="AM24"/>
  <c r="W24" i="50"/>
  <c r="O24"/>
  <c r="I24"/>
  <c r="J24" s="1"/>
  <c r="F24"/>
  <c r="AL24" i="49"/>
  <c r="AN24" i="51"/>
  <c r="AI24" i="49"/>
  <c r="V24" i="50"/>
  <c r="AG24" i="49"/>
  <c r="AH24"/>
  <c r="AP24" i="51" l="1"/>
  <c r="X24" i="50"/>
  <c r="AB24" s="1"/>
  <c r="AC24" s="1"/>
  <c r="AC24" i="49"/>
  <c r="T24"/>
  <c r="U24"/>
  <c r="W24"/>
  <c r="Y24" i="50" l="1"/>
  <c r="P24" i="49"/>
  <c r="H24"/>
  <c r="F24"/>
  <c r="A23" i="51"/>
  <c r="B23"/>
  <c r="C23"/>
  <c r="D23"/>
  <c r="H23"/>
  <c r="M23"/>
  <c r="N23"/>
  <c r="P23"/>
  <c r="Q23"/>
  <c r="R23"/>
  <c r="V23"/>
  <c r="X24" i="49"/>
  <c r="V24"/>
  <c r="Z24" l="1"/>
  <c r="AD24" s="1"/>
  <c r="AE24" s="1"/>
  <c r="E23" i="51" s="1"/>
  <c r="Y24" i="49"/>
  <c r="AF24"/>
  <c r="J24"/>
  <c r="K24" s="1"/>
  <c r="Z23" i="51"/>
  <c r="AA23"/>
  <c r="AC23"/>
  <c r="AD23"/>
  <c r="AE23"/>
  <c r="AA24" i="49" l="1"/>
  <c r="A19" i="51"/>
  <c r="B19"/>
  <c r="C19"/>
  <c r="D19"/>
  <c r="H19"/>
  <c r="M19"/>
  <c r="P19"/>
  <c r="Q19"/>
  <c r="V19"/>
  <c r="AF23"/>
  <c r="AG23" l="1"/>
  <c r="Z19"/>
  <c r="AA19"/>
  <c r="AC19"/>
  <c r="AE19"/>
  <c r="AD19"/>
  <c r="AO19" l="1"/>
  <c r="A20"/>
  <c r="B20"/>
  <c r="C20"/>
  <c r="D20"/>
  <c r="H20"/>
  <c r="M20"/>
  <c r="P20"/>
  <c r="Q20"/>
  <c r="V20"/>
  <c r="AF19"/>
  <c r="AG19" l="1"/>
  <c r="Z20"/>
  <c r="AA20"/>
  <c r="AC20"/>
  <c r="AD20"/>
  <c r="AE20"/>
  <c r="AO20" l="1"/>
  <c r="A21"/>
  <c r="B21"/>
  <c r="C21"/>
  <c r="D21"/>
  <c r="H21"/>
  <c r="M21"/>
  <c r="P21"/>
  <c r="Q21"/>
  <c r="AF20"/>
  <c r="V21"/>
  <c r="AG20" l="1"/>
  <c r="Z21"/>
  <c r="AA21"/>
  <c r="AC21"/>
  <c r="AD21"/>
  <c r="AE21"/>
  <c r="AO21" l="1"/>
  <c r="A22"/>
  <c r="B22"/>
  <c r="C22"/>
  <c r="D22"/>
  <c r="H22"/>
  <c r="M22"/>
  <c r="P22"/>
  <c r="Q22"/>
  <c r="AF21"/>
  <c r="V22"/>
  <c r="AG21" l="1"/>
  <c r="Z22"/>
  <c r="AA22"/>
  <c r="AC22"/>
  <c r="AD22"/>
  <c r="AE22"/>
  <c r="AO22" l="1"/>
  <c r="AO18"/>
  <c r="H20" i="49"/>
  <c r="H21"/>
  <c r="H22"/>
  <c r="H23"/>
  <c r="H19"/>
  <c r="E14" i="50"/>
  <c r="E14" i="49"/>
  <c r="AC18" i="51"/>
  <c r="AA18"/>
  <c r="H18"/>
  <c r="AF22"/>
  <c r="AG22" l="1"/>
  <c r="Q18"/>
  <c r="P18"/>
  <c r="Z18" s="1"/>
  <c r="M18"/>
  <c r="D18"/>
  <c r="C18"/>
  <c r="A18"/>
  <c r="B18"/>
  <c r="B2"/>
  <c r="B1"/>
  <c r="V18"/>
  <c r="AE18"/>
  <c r="AD18"/>
  <c r="C10" l="1"/>
  <c r="B10"/>
  <c r="C6"/>
  <c r="B6"/>
  <c r="C5"/>
  <c r="B5"/>
  <c r="T23" i="49"/>
  <c r="R22" i="50"/>
  <c r="T19" i="49"/>
  <c r="R21" i="50"/>
  <c r="R19"/>
  <c r="T21" i="49"/>
  <c r="R23" i="50"/>
  <c r="AF18" i="51"/>
  <c r="T22" i="49"/>
  <c r="R20" i="50"/>
  <c r="T20" i="49"/>
  <c r="N21" i="51" l="1"/>
  <c r="N20"/>
  <c r="N19"/>
  <c r="R21"/>
  <c r="R22"/>
  <c r="R19"/>
  <c r="N22"/>
  <c r="R20"/>
  <c r="AB20"/>
  <c r="AH20" s="1"/>
  <c r="AB18"/>
  <c r="AB21"/>
  <c r="AH21" s="1"/>
  <c r="AB19"/>
  <c r="AH19" s="1"/>
  <c r="AB23"/>
  <c r="AH23" s="1"/>
  <c r="AB22"/>
  <c r="AH22" s="1"/>
  <c r="AG18"/>
  <c r="R18"/>
  <c r="N18"/>
  <c r="AF23" i="50"/>
  <c r="AE23"/>
  <c r="AG23"/>
  <c r="AH18" i="51" l="1"/>
  <c r="AD23" i="50"/>
  <c r="AA23"/>
  <c r="T23"/>
  <c r="S23"/>
  <c r="U23"/>
  <c r="W23" l="1"/>
  <c r="O23"/>
  <c r="I23"/>
  <c r="J23" s="1"/>
  <c r="F23"/>
  <c r="AF22"/>
  <c r="AG22"/>
  <c r="AE22"/>
  <c r="V23"/>
  <c r="X23" l="1"/>
  <c r="AB23" s="1"/>
  <c r="AC23" s="1"/>
  <c r="AD22"/>
  <c r="AA22"/>
  <c r="T22"/>
  <c r="U22"/>
  <c r="S22"/>
  <c r="Y23" l="1"/>
  <c r="W22"/>
  <c r="O22"/>
  <c r="I22"/>
  <c r="J22" s="1"/>
  <c r="F22"/>
  <c r="AF21"/>
  <c r="V22"/>
  <c r="AG21"/>
  <c r="AE21"/>
  <c r="X22" l="1"/>
  <c r="AB22" s="1"/>
  <c r="AC22" s="1"/>
  <c r="AD21"/>
  <c r="AA21"/>
  <c r="U21"/>
  <c r="S21"/>
  <c r="T21"/>
  <c r="Y22" l="1"/>
  <c r="W21"/>
  <c r="O21"/>
  <c r="I21"/>
  <c r="J21" s="1"/>
  <c r="F21"/>
  <c r="AG20"/>
  <c r="AF20"/>
  <c r="AE20"/>
  <c r="V21"/>
  <c r="X21" l="1"/>
  <c r="AB21" s="1"/>
  <c r="AC21" s="1"/>
  <c r="AD20"/>
  <c r="AA20"/>
  <c r="U20"/>
  <c r="S20"/>
  <c r="T20"/>
  <c r="Y21" l="1"/>
  <c r="W20"/>
  <c r="O20"/>
  <c r="I20"/>
  <c r="J20" s="1"/>
  <c r="F20"/>
  <c r="AD19"/>
  <c r="AA19"/>
  <c r="AF19"/>
  <c r="V20"/>
  <c r="AG19"/>
  <c r="U19"/>
  <c r="S19"/>
  <c r="AE19"/>
  <c r="T19"/>
  <c r="X20" l="1"/>
  <c r="AB20" s="1"/>
  <c r="AC20" s="1"/>
  <c r="W19"/>
  <c r="O19"/>
  <c r="I19"/>
  <c r="J19" s="1"/>
  <c r="F19"/>
  <c r="AA18"/>
  <c r="T18"/>
  <c r="V19"/>
  <c r="X19" l="1"/>
  <c r="AB19" s="1"/>
  <c r="AC19" s="1"/>
  <c r="Y20"/>
  <c r="O18"/>
  <c r="F18"/>
  <c r="E18"/>
  <c r="I18" s="1"/>
  <c r="J18" s="1"/>
  <c r="AJ17"/>
  <c r="AJ18" s="1"/>
  <c r="U18"/>
  <c r="S18"/>
  <c r="AG18"/>
  <c r="R18"/>
  <c r="AF18"/>
  <c r="AE18"/>
  <c r="B9" l="1"/>
  <c r="C8" i="51" s="1"/>
  <c r="C11" s="1"/>
  <c r="Y19" i="50"/>
  <c r="W18"/>
  <c r="AJ19"/>
  <c r="AD18"/>
  <c r="AA17"/>
  <c r="V18"/>
  <c r="T17"/>
  <c r="W18" i="51" l="1"/>
  <c r="W23"/>
  <c r="W19"/>
  <c r="W20"/>
  <c r="W21"/>
  <c r="W22"/>
  <c r="X18" i="50"/>
  <c r="AB18" s="1"/>
  <c r="AC18" s="1"/>
  <c r="Z18"/>
  <c r="AH18" s="1"/>
  <c r="AJ20"/>
  <c r="O17"/>
  <c r="I17"/>
  <c r="J17" s="1"/>
  <c r="F17"/>
  <c r="E17"/>
  <c r="B11"/>
  <c r="Q24" s="1"/>
  <c r="S17"/>
  <c r="U17"/>
  <c r="AE17"/>
  <c r="AG17"/>
  <c r="R17"/>
  <c r="AF17"/>
  <c r="Z24" l="1"/>
  <c r="AH24" s="1"/>
  <c r="S23" i="51"/>
  <c r="X23" s="1"/>
  <c r="Y23" s="1"/>
  <c r="B8" i="50"/>
  <c r="C7" i="51" s="1"/>
  <c r="C9" s="1"/>
  <c r="Q21" i="50"/>
  <c r="Q20"/>
  <c r="S19" i="51" s="1"/>
  <c r="X19" s="1"/>
  <c r="Y19" s="1"/>
  <c r="Q19" i="50"/>
  <c r="S18" i="51" s="1"/>
  <c r="X18" s="1"/>
  <c r="Y18" s="1"/>
  <c r="Q23" i="50"/>
  <c r="Q22"/>
  <c r="Y18"/>
  <c r="W17"/>
  <c r="AJ21"/>
  <c r="AD17"/>
  <c r="V17"/>
  <c r="Z23" l="1"/>
  <c r="AH23" s="1"/>
  <c r="S22" i="51"/>
  <c r="X22" s="1"/>
  <c r="Y22" s="1"/>
  <c r="Z22" i="50"/>
  <c r="AH22" s="1"/>
  <c r="S21" i="51"/>
  <c r="X21" s="1"/>
  <c r="Y21" s="1"/>
  <c r="Z21" i="50"/>
  <c r="AH21" s="1"/>
  <c r="S20" i="51"/>
  <c r="X20" s="1"/>
  <c r="Y20" s="1"/>
  <c r="Z20" i="50"/>
  <c r="AH20" s="1"/>
  <c r="Z19"/>
  <c r="AH19" s="1"/>
  <c r="X17"/>
  <c r="AB17" s="1"/>
  <c r="AC17" s="1"/>
  <c r="Z17"/>
  <c r="AH17" s="1"/>
  <c r="AJ22"/>
  <c r="C12" i="51" l="1"/>
  <c r="AK24" i="50"/>
  <c r="AL24" s="1"/>
  <c r="AI20" i="51"/>
  <c r="AI22"/>
  <c r="AI23"/>
  <c r="AI21"/>
  <c r="AJ21" s="1"/>
  <c r="AI19"/>
  <c r="AK17" i="50"/>
  <c r="AI18" i="51"/>
  <c r="AK19" i="50"/>
  <c r="AL19" s="1"/>
  <c r="Y17"/>
  <c r="C13" i="51" s="1"/>
  <c r="AK21" i="50"/>
  <c r="AK18"/>
  <c r="AK20"/>
  <c r="AL20" s="1"/>
  <c r="AK16"/>
  <c r="AL16" s="1"/>
  <c r="AJ23"/>
  <c r="AK22"/>
  <c r="AM21" i="51" l="1"/>
  <c r="AL21"/>
  <c r="AJ19"/>
  <c r="AJ20"/>
  <c r="AL17" i="50"/>
  <c r="AJ22" i="51"/>
  <c r="AL22" i="50"/>
  <c r="AL18"/>
  <c r="AJ18" i="51"/>
  <c r="AM18" s="1"/>
  <c r="AJ23"/>
  <c r="AL21" i="50"/>
  <c r="AK23"/>
  <c r="AL23" s="1"/>
  <c r="AN18" i="51"/>
  <c r="AN21"/>
  <c r="AP21" l="1"/>
  <c r="AM23"/>
  <c r="AL23"/>
  <c r="AM22"/>
  <c r="AL22"/>
  <c r="AM19"/>
  <c r="AL19"/>
  <c r="AL18"/>
  <c r="AM20"/>
  <c r="AL20"/>
  <c r="AP18"/>
  <c r="AN22"/>
  <c r="AN20"/>
  <c r="AN19"/>
  <c r="AN23"/>
  <c r="AP22" l="1"/>
  <c r="AP20"/>
  <c r="AP19"/>
  <c r="AP23"/>
  <c r="AF23" i="49" l="1"/>
  <c r="AC23"/>
  <c r="AH23"/>
  <c r="V23"/>
  <c r="AI23"/>
  <c r="W23"/>
  <c r="AG23"/>
  <c r="U23"/>
  <c r="Y23" l="1"/>
  <c r="P23"/>
  <c r="J23"/>
  <c r="K23" s="1"/>
  <c r="F23"/>
  <c r="AF22"/>
  <c r="AC22"/>
  <c r="W22"/>
  <c r="AH22"/>
  <c r="V22"/>
  <c r="X23"/>
  <c r="AI22"/>
  <c r="U22"/>
  <c r="AG22"/>
  <c r="Z23" l="1"/>
  <c r="AD23" s="1"/>
  <c r="AE23" s="1"/>
  <c r="E22" i="51" s="1"/>
  <c r="Y22" i="49"/>
  <c r="P22"/>
  <c r="J22"/>
  <c r="K22" s="1"/>
  <c r="F22"/>
  <c r="AF21"/>
  <c r="AC21"/>
  <c r="W21"/>
  <c r="V21"/>
  <c r="AI21"/>
  <c r="AH21"/>
  <c r="U21"/>
  <c r="AG21"/>
  <c r="X22"/>
  <c r="AA23" l="1"/>
  <c r="Z22"/>
  <c r="AD22" s="1"/>
  <c r="AE22" s="1"/>
  <c r="E21" i="51" s="1"/>
  <c r="Y21" i="49"/>
  <c r="P21"/>
  <c r="J21"/>
  <c r="K21" s="1"/>
  <c r="F21"/>
  <c r="AL17"/>
  <c r="AL18" s="1"/>
  <c r="AL19" s="1"/>
  <c r="AL20" s="1"/>
  <c r="AC20"/>
  <c r="X21"/>
  <c r="V20"/>
  <c r="AL21" l="1"/>
  <c r="AL22" s="1"/>
  <c r="AL23" s="1"/>
  <c r="AA22"/>
  <c r="Z21"/>
  <c r="AD21" s="1"/>
  <c r="AE21" s="1"/>
  <c r="E20" i="51" s="1"/>
  <c r="P20" i="49"/>
  <c r="J20"/>
  <c r="AC19"/>
  <c r="AC18"/>
  <c r="AC17"/>
  <c r="P17"/>
  <c r="V19"/>
  <c r="AG20"/>
  <c r="V18"/>
  <c r="W20"/>
  <c r="U20"/>
  <c r="AH20"/>
  <c r="AI20"/>
  <c r="AA21" l="1"/>
  <c r="F20"/>
  <c r="Y20"/>
  <c r="AF20"/>
  <c r="K20"/>
  <c r="W19"/>
  <c r="X20"/>
  <c r="V17"/>
  <c r="U19"/>
  <c r="Z20" l="1"/>
  <c r="AD20" s="1"/>
  <c r="AE20" s="1"/>
  <c r="E19" i="51" s="1"/>
  <c r="F19" i="49"/>
  <c r="J19"/>
  <c r="K19" s="1"/>
  <c r="Y19"/>
  <c r="AF19"/>
  <c r="P19"/>
  <c r="AH19"/>
  <c r="X19"/>
  <c r="AI19"/>
  <c r="AG19"/>
  <c r="Z19" l="1"/>
  <c r="AD19" s="1"/>
  <c r="AE19" s="1"/>
  <c r="E18" i="51" s="1"/>
  <c r="AA20" i="49"/>
  <c r="P18"/>
  <c r="E17"/>
  <c r="E18"/>
  <c r="W17"/>
  <c r="T17"/>
  <c r="U17"/>
  <c r="AH18"/>
  <c r="AH17"/>
  <c r="T18"/>
  <c r="U18"/>
  <c r="AG17"/>
  <c r="AI17"/>
  <c r="B9" l="1"/>
  <c r="B8" i="51" s="1"/>
  <c r="B11" s="1"/>
  <c r="B8" i="49"/>
  <c r="B7" i="51" s="1"/>
  <c r="J17" i="49"/>
  <c r="AA19"/>
  <c r="B11"/>
  <c r="S24" s="1"/>
  <c r="J18"/>
  <c r="K18" s="1"/>
  <c r="AF17"/>
  <c r="F18"/>
  <c r="F17"/>
  <c r="Y18"/>
  <c r="AB18" s="1"/>
  <c r="AJ18" s="1"/>
  <c r="Y17"/>
  <c r="AF18"/>
  <c r="AI18"/>
  <c r="AG18"/>
  <c r="W18"/>
  <c r="X17"/>
  <c r="O23" i="51" l="1"/>
  <c r="T23" s="1"/>
  <c r="AB24" i="49"/>
  <c r="B9" i="51"/>
  <c r="S22" i="49"/>
  <c r="S21"/>
  <c r="O20" i="51" s="1"/>
  <c r="T20" s="1"/>
  <c r="S20" i="49"/>
  <c r="S19"/>
  <c r="O18" i="51" s="1"/>
  <c r="T18" s="1"/>
  <c r="S23" i="49"/>
  <c r="AB21"/>
  <c r="Z17"/>
  <c r="AD17" s="1"/>
  <c r="AE17" s="1"/>
  <c r="AB19"/>
  <c r="AB17"/>
  <c r="AJ17" s="1"/>
  <c r="K17"/>
  <c r="X18"/>
  <c r="B12" i="51" l="1"/>
  <c r="AM24" i="49"/>
  <c r="AN24" s="1"/>
  <c r="AK23" i="51"/>
  <c r="AJ24" i="49"/>
  <c r="AB20"/>
  <c r="O19" i="51"/>
  <c r="T19" s="1"/>
  <c r="AB23" i="49"/>
  <c r="O22" i="51"/>
  <c r="T22" s="1"/>
  <c r="AB22" i="49"/>
  <c r="O21" i="51"/>
  <c r="T21" s="1"/>
  <c r="AJ21" i="49"/>
  <c r="AK20" i="51"/>
  <c r="AJ19" i="49"/>
  <c r="AK18" i="51"/>
  <c r="AM23" i="49"/>
  <c r="AM21"/>
  <c r="AM22"/>
  <c r="Z18"/>
  <c r="AA17"/>
  <c r="B13" i="51" s="1"/>
  <c r="AM16" i="49"/>
  <c r="AM17"/>
  <c r="AM19"/>
  <c r="AM18"/>
  <c r="AM20"/>
  <c r="F23" i="51" l="1"/>
  <c r="G23" s="1"/>
  <c r="F22"/>
  <c r="G22" s="1"/>
  <c r="F21"/>
  <c r="G21" s="1"/>
  <c r="F20"/>
  <c r="G20" s="1"/>
  <c r="F19"/>
  <c r="G19" s="1"/>
  <c r="F18"/>
  <c r="G18" s="1"/>
  <c r="AJ20" i="49"/>
  <c r="AK19" i="51"/>
  <c r="AJ23" i="49"/>
  <c r="AK22" i="51"/>
  <c r="AJ22" i="49"/>
  <c r="AK21" i="51"/>
  <c r="AN23" i="49"/>
  <c r="AN21"/>
  <c r="AN22"/>
  <c r="AN19"/>
  <c r="AD18"/>
  <c r="AE18" s="1"/>
  <c r="AA18"/>
  <c r="AN20"/>
  <c r="AN18"/>
  <c r="AN16"/>
  <c r="AN17"/>
  <c r="I21" i="51"/>
  <c r="I22"/>
  <c r="I18"/>
  <c r="I23"/>
  <c r="I19"/>
  <c r="I20"/>
  <c r="J20" l="1"/>
  <c r="J19"/>
  <c r="J23"/>
  <c r="J18"/>
  <c r="J22"/>
  <c r="J21"/>
</calcChain>
</file>

<file path=xl/comments1.xml><?xml version="1.0" encoding="utf-8"?>
<comments xmlns="http://schemas.openxmlformats.org/spreadsheetml/2006/main">
  <authors>
    <author>Thibault HERGAT : ALFR-0067222-L</author>
  </authors>
  <commentList>
    <comment ref="B10" authorId="0">
      <text>
        <r>
          <rPr>
            <b/>
            <sz val="9"/>
            <color indexed="81"/>
            <rFont val="Tahoma"/>
            <family val="2"/>
          </rPr>
          <t xml:space="preserve">Thibault HERGAT : </t>
        </r>
        <r>
          <rPr>
            <sz val="9"/>
            <color indexed="81"/>
            <rFont val="Tahoma"/>
            <family val="2"/>
          </rPr>
          <t xml:space="preserve">
vient de la page 11 du test report</t>
        </r>
      </text>
    </comment>
    <comment ref="AA15" authorId="0">
      <text>
        <r>
          <rPr>
            <b/>
            <sz val="9"/>
            <color indexed="81"/>
            <rFont val="Tahoma"/>
            <family val="2"/>
          </rPr>
          <t xml:space="preserve">Thibault HERGAT : </t>
        </r>
        <r>
          <rPr>
            <sz val="9"/>
            <color indexed="81"/>
            <rFont val="Tahoma"/>
            <family val="2"/>
          </rPr>
          <t xml:space="preserve">
Ne rien écrire au-dessus</t>
        </r>
      </text>
    </comment>
    <comment ref="AE15" authorId="0">
      <text>
        <r>
          <rPr>
            <b/>
            <sz val="9"/>
            <color indexed="81"/>
            <rFont val="Tahoma"/>
            <family val="2"/>
          </rPr>
          <t xml:space="preserve">Thibault HERGAT : </t>
        </r>
        <r>
          <rPr>
            <sz val="9"/>
            <color indexed="81"/>
            <rFont val="Tahoma"/>
            <family val="2"/>
          </rPr>
          <t xml:space="preserve">
Ne rien écrire au-dessus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Thibault HERGAT :</t>
        </r>
        <r>
          <rPr>
            <sz val="9"/>
            <color indexed="81"/>
            <rFont val="Tahoma"/>
            <family val="2"/>
          </rPr>
          <t xml:space="preserve">
Données théoriques de la turbine 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 xml:space="preserve">Thibault HERGAT :
</t>
        </r>
        <r>
          <rPr>
            <sz val="9"/>
            <color indexed="81"/>
            <rFont val="Tahoma"/>
            <family val="2"/>
          </rPr>
          <t xml:space="preserve">Données issues du test report
</t>
        </r>
      </text>
    </comment>
    <comment ref="A19" authorId="0">
      <text>
        <r>
          <rPr>
            <b/>
            <sz val="9"/>
            <color indexed="81"/>
            <rFont val="Tahoma"/>
            <family val="2"/>
          </rPr>
          <t xml:space="preserve">Thibault HERGAT : </t>
        </r>
        <r>
          <rPr>
            <sz val="9"/>
            <color indexed="81"/>
            <rFont val="Tahoma"/>
            <family val="2"/>
          </rPr>
          <t xml:space="preserve">
Ne pas supprimer cette ligne</t>
        </r>
      </text>
    </comment>
    <comment ref="G19" authorId="0">
      <text>
        <r>
          <rPr>
            <b/>
            <sz val="9"/>
            <color indexed="81"/>
            <rFont val="Tahoma"/>
            <family val="2"/>
          </rPr>
          <t>Thibault HERGAT : ALFR-0067222-L:</t>
        </r>
        <r>
          <rPr>
            <sz val="9"/>
            <color indexed="81"/>
            <rFont val="Tahoma"/>
            <family val="2"/>
          </rPr>
          <t xml:space="preserve">
entrée T2</t>
        </r>
      </text>
    </comment>
  </commentList>
</comments>
</file>

<file path=xl/comments2.xml><?xml version="1.0" encoding="utf-8"?>
<comments xmlns="http://schemas.openxmlformats.org/spreadsheetml/2006/main">
  <authors>
    <author>Thibault HERGAT : ALFR-0067222-L</author>
  </authors>
  <commentList>
    <comment ref="B10" authorId="0">
      <text>
        <r>
          <rPr>
            <b/>
            <sz val="9"/>
            <color indexed="81"/>
            <rFont val="Tahoma"/>
            <family val="2"/>
          </rPr>
          <t xml:space="preserve">Thibault HERGAT : </t>
        </r>
        <r>
          <rPr>
            <sz val="9"/>
            <color indexed="81"/>
            <rFont val="Tahoma"/>
            <family val="2"/>
          </rPr>
          <t xml:space="preserve">
vient de la page 11 du test report</t>
        </r>
      </text>
    </comment>
    <comment ref="Y15" authorId="0">
      <text>
        <r>
          <rPr>
            <b/>
            <sz val="9"/>
            <color indexed="81"/>
            <rFont val="Tahoma"/>
            <family val="2"/>
          </rPr>
          <t xml:space="preserve">Thibault HERGAT : </t>
        </r>
        <r>
          <rPr>
            <sz val="9"/>
            <color indexed="81"/>
            <rFont val="Tahoma"/>
            <family val="2"/>
          </rPr>
          <t xml:space="preserve">
Ne rien écrire au-dessus</t>
        </r>
      </text>
    </comment>
    <comment ref="AC15" authorId="0">
      <text>
        <r>
          <rPr>
            <b/>
            <sz val="9"/>
            <color indexed="81"/>
            <rFont val="Tahoma"/>
            <family val="2"/>
          </rPr>
          <t xml:space="preserve">Thibault HERGAT : </t>
        </r>
        <r>
          <rPr>
            <sz val="9"/>
            <color indexed="81"/>
            <rFont val="Tahoma"/>
            <family val="2"/>
          </rPr>
          <t xml:space="preserve">
Ne rien écrire au-dessus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Thibault HERGAT :</t>
        </r>
        <r>
          <rPr>
            <sz val="9"/>
            <color indexed="81"/>
            <rFont val="Tahoma"/>
            <family val="2"/>
          </rPr>
          <t xml:space="preserve">
Données théoriques de la turbine 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 xml:space="preserve">Thibault HERGAT :
</t>
        </r>
        <r>
          <rPr>
            <sz val="9"/>
            <color indexed="81"/>
            <rFont val="Tahoma"/>
            <family val="2"/>
          </rPr>
          <t xml:space="preserve">Données issues du test report
</t>
        </r>
      </text>
    </comment>
    <comment ref="A19" authorId="0">
      <text>
        <r>
          <rPr>
            <b/>
            <sz val="9"/>
            <color indexed="81"/>
            <rFont val="Tahoma"/>
            <family val="2"/>
          </rPr>
          <t xml:space="preserve">Thibault HERGAT : </t>
        </r>
        <r>
          <rPr>
            <sz val="9"/>
            <color indexed="81"/>
            <rFont val="Tahoma"/>
            <family val="2"/>
          </rPr>
          <t xml:space="preserve">
Ne pas supprimer cette ligne</t>
        </r>
      </text>
    </comment>
    <comment ref="G19" authorId="0">
      <text>
        <r>
          <rPr>
            <b/>
            <sz val="9"/>
            <color indexed="81"/>
            <rFont val="Tahoma"/>
            <family val="2"/>
          </rPr>
          <t>Thibault HERGAT : ALFR-0067222-L:</t>
        </r>
        <r>
          <rPr>
            <sz val="9"/>
            <color indexed="81"/>
            <rFont val="Tahoma"/>
            <family val="2"/>
          </rPr>
          <t xml:space="preserve">
PT359</t>
        </r>
      </text>
    </comment>
  </commentList>
</comments>
</file>

<file path=xl/sharedStrings.xml><?xml version="1.0" encoding="utf-8"?>
<sst xmlns="http://schemas.openxmlformats.org/spreadsheetml/2006/main" count="384" uniqueCount="184">
  <si>
    <t>Argon</t>
  </si>
  <si>
    <t>Ethane</t>
  </si>
  <si>
    <t>Helium</t>
  </si>
  <si>
    <t>Hydrogen Sulfide</t>
  </si>
  <si>
    <t>Krypton</t>
  </si>
  <si>
    <t>Propane</t>
  </si>
  <si>
    <t>Liste des fluides</t>
  </si>
  <si>
    <t>Ammonia</t>
  </si>
  <si>
    <t>Butane, Iso</t>
  </si>
  <si>
    <t>Butane, Normal</t>
  </si>
  <si>
    <t>Carbon Dioxide</t>
  </si>
  <si>
    <t>Carbon Monoxide</t>
  </si>
  <si>
    <t>Deuterium</t>
  </si>
  <si>
    <t>Ethylene</t>
  </si>
  <si>
    <t>Hydrogen, Equilibrium</t>
  </si>
  <si>
    <t>Hydrogen, Normal</t>
  </si>
  <si>
    <t>Hydrogen, Ortho</t>
  </si>
  <si>
    <t>Hydrogen, Para</t>
  </si>
  <si>
    <t>Methane</t>
  </si>
  <si>
    <t>Neon</t>
  </si>
  <si>
    <t>Nitrogen</t>
  </si>
  <si>
    <t>Nitrogen Trifluoride</t>
  </si>
  <si>
    <t>Oxygen</t>
  </si>
  <si>
    <t>Water</t>
  </si>
  <si>
    <t>Xenon</t>
  </si>
  <si>
    <t>R-11</t>
  </si>
  <si>
    <t>R-12</t>
  </si>
  <si>
    <t>R-22</t>
  </si>
  <si>
    <t>R-32</t>
  </si>
  <si>
    <t>R-123</t>
  </si>
  <si>
    <t>R-124</t>
  </si>
  <si>
    <t>R-125</t>
  </si>
  <si>
    <t>R-134a</t>
  </si>
  <si>
    <t>R-152a</t>
  </si>
  <si>
    <t>Hz</t>
  </si>
  <si>
    <t>U1/C0</t>
  </si>
  <si>
    <t>Pout</t>
  </si>
  <si>
    <t>Tin</t>
  </si>
  <si>
    <t>Tout</t>
  </si>
  <si>
    <t>%</t>
  </si>
  <si>
    <t>g/s</t>
  </si>
  <si>
    <t>kW</t>
  </si>
  <si>
    <t>K</t>
  </si>
  <si>
    <t>bara</t>
  </si>
  <si>
    <t>Process</t>
  </si>
  <si>
    <t>Sigma</t>
  </si>
  <si>
    <t>Cpin</t>
  </si>
  <si>
    <t>Cvin</t>
  </si>
  <si>
    <t>Deg_reac</t>
  </si>
  <si>
    <t>Paval_filtre</t>
  </si>
  <si>
    <t>Pamont_filtre</t>
  </si>
  <si>
    <t>Projet</t>
  </si>
  <si>
    <t>LNCMI</t>
  </si>
  <si>
    <t>n° projet</t>
  </si>
  <si>
    <t>1001342</t>
  </si>
  <si>
    <t>Turbine</t>
  </si>
  <si>
    <t>T1</t>
  </si>
  <si>
    <t>Données turbine</t>
  </si>
  <si>
    <t>D_roue</t>
  </si>
  <si>
    <t>mm</t>
  </si>
  <si>
    <t>date</t>
  </si>
  <si>
    <t>heure</t>
  </si>
  <si>
    <t>Hin</t>
  </si>
  <si>
    <t>J/kg</t>
  </si>
  <si>
    <t>Hout</t>
  </si>
  <si>
    <t>Hout_id</t>
  </si>
  <si>
    <t>Sin</t>
  </si>
  <si>
    <t>J/kg/K</t>
  </si>
  <si>
    <t>dH</t>
  </si>
  <si>
    <t>dHs</t>
  </si>
  <si>
    <t>Rendement</t>
  </si>
  <si>
    <t>Vitesse</t>
  </si>
  <si>
    <t>dP_filtre</t>
  </si>
  <si>
    <t>Ouverture vanne</t>
  </si>
  <si>
    <t>Pamont_roue</t>
  </si>
  <si>
    <t>Coeff_débit_th</t>
  </si>
  <si>
    <t>Coeff_débit_test</t>
  </si>
  <si>
    <t>dT</t>
  </si>
  <si>
    <t>mbar</t>
  </si>
  <si>
    <t>U1</t>
  </si>
  <si>
    <t>C0</t>
  </si>
  <si>
    <t>m/s</t>
  </si>
  <si>
    <t>Puissance</t>
  </si>
  <si>
    <t>Pamont_roue_th</t>
  </si>
  <si>
    <t>Ecart relatif</t>
  </si>
  <si>
    <t>Débit</t>
  </si>
  <si>
    <t>Rabotage distributeur post test</t>
  </si>
  <si>
    <t>Coeff_débit_réel</t>
  </si>
  <si>
    <t>Pin_paliers</t>
  </si>
  <si>
    <t>P_frein</t>
  </si>
  <si>
    <t>Rendement_th</t>
  </si>
  <si>
    <t>Rhoin</t>
  </si>
  <si>
    <t>kg/m3</t>
  </si>
  <si>
    <t>N/A</t>
  </si>
  <si>
    <t>Cas 2</t>
  </si>
  <si>
    <t>Cas 1</t>
  </si>
  <si>
    <t>Essai turbine</t>
  </si>
  <si>
    <t>Cas 3</t>
  </si>
  <si>
    <t>Cas 4</t>
  </si>
  <si>
    <t>Cas 5</t>
  </si>
  <si>
    <t>T2</t>
  </si>
  <si>
    <t>D_roue (mm)</t>
  </si>
  <si>
    <t>Delta Cd th/test</t>
  </si>
  <si>
    <t>Zin</t>
  </si>
  <si>
    <t>Date</t>
  </si>
  <si>
    <t>Auteur</t>
  </si>
  <si>
    <t>Intégration du coef de compressibilité dans le calcul du coef de débit turbine:
Qm = Cd / Pin * (Zin * Tin) ^ 0,5</t>
  </si>
  <si>
    <t>16.07.2015</t>
  </si>
  <si>
    <t>P. BARJHOUX</t>
  </si>
  <si>
    <t>Révision</t>
  </si>
  <si>
    <t>Modifications</t>
  </si>
  <si>
    <t>Tin T1</t>
  </si>
  <si>
    <t>Pin T1</t>
  </si>
  <si>
    <t>Zin T1</t>
  </si>
  <si>
    <t>Tin T2</t>
  </si>
  <si>
    <t>Pin T2</t>
  </si>
  <si>
    <t>Zin T2</t>
  </si>
  <si>
    <t>Qm T2</t>
  </si>
  <si>
    <t>Qm T1</t>
  </si>
  <si>
    <t>Tin T2 corr</t>
  </si>
  <si>
    <t>Zin T2 corr</t>
  </si>
  <si>
    <t>Qm T2 corr</t>
  </si>
  <si>
    <t>Fuite T1 corr</t>
  </si>
  <si>
    <t>Fuite T1 PV</t>
  </si>
  <si>
    <t>Qm paliers T1 PV</t>
  </si>
  <si>
    <t>Tout T1</t>
  </si>
  <si>
    <t>Fuite T1 brute</t>
  </si>
  <si>
    <t>Vitesse T2</t>
  </si>
  <si>
    <t>U1 T2</t>
  </si>
  <si>
    <t>Sin T2</t>
  </si>
  <si>
    <t>Hin T2</t>
  </si>
  <si>
    <t>DH_is T2</t>
  </si>
  <si>
    <t>C0 T2</t>
  </si>
  <si>
    <t>U1/C0 T2</t>
  </si>
  <si>
    <t>J/kg.K</t>
  </si>
  <si>
    <t>J/g</t>
  </si>
  <si>
    <t>Pout T2</t>
  </si>
  <si>
    <t>ratio U1/CO</t>
  </si>
  <si>
    <t>W</t>
  </si>
  <si>
    <t>Ksfrein</t>
  </si>
  <si>
    <t>Delta TT Tin T1</t>
  </si>
  <si>
    <t>Capteur</t>
  </si>
  <si>
    <t>1PT350</t>
  </si>
  <si>
    <t>2PT350</t>
  </si>
  <si>
    <t>PT359</t>
  </si>
  <si>
    <t>Pout T1 = Pin T2 + 30 mbar</t>
  </si>
  <si>
    <t>1PT358</t>
  </si>
  <si>
    <t>1ST350</t>
  </si>
  <si>
    <t>FCV450</t>
  </si>
  <si>
    <t>2ST350</t>
  </si>
  <si>
    <t>1PT302</t>
  </si>
  <si>
    <t>2PT302</t>
  </si>
  <si>
    <t>1PT354</t>
  </si>
  <si>
    <t>1TT450</t>
  </si>
  <si>
    <t>1TT459</t>
  </si>
  <si>
    <t>2PT358</t>
  </si>
  <si>
    <t>2PT354</t>
  </si>
  <si>
    <t>2TT459</t>
  </si>
  <si>
    <t>2TT450</t>
  </si>
  <si>
    <t>Hypothèse pour recalculer fuite froide T1</t>
  </si>
  <si>
    <t>Hout T2</t>
  </si>
  <si>
    <t>Tout T2 corr</t>
  </si>
  <si>
    <t>Tout T2 capteur</t>
  </si>
  <si>
    <t>Doit être égal à 0</t>
  </si>
  <si>
    <t>Convergence fuite froide</t>
  </si>
  <si>
    <t>Test de Perf</t>
  </si>
  <si>
    <t>Delta TT Tin T2</t>
  </si>
  <si>
    <t>Rdt isentropique</t>
  </si>
  <si>
    <t>Ratio U1/C0</t>
  </si>
  <si>
    <t>U1/CO th</t>
  </si>
  <si>
    <t>Rdt théorique</t>
  </si>
  <si>
    <t>1.0</t>
  </si>
  <si>
    <t>1.1</t>
  </si>
  <si>
    <t>recalcul rdt T1 en OFFDESIGN avec rdt théorique = rdt mesuré en PV test</t>
  </si>
  <si>
    <t>22.07.2015</t>
  </si>
  <si>
    <t>Tout T1 recalc</t>
  </si>
  <si>
    <t>Delta TT Tout T1</t>
  </si>
  <si>
    <t>W T1</t>
  </si>
  <si>
    <t>Delta Puissance</t>
  </si>
  <si>
    <t>W T2</t>
  </si>
  <si>
    <t>Cas 6</t>
  </si>
  <si>
    <t>Cas 7</t>
  </si>
  <si>
    <t>Cas 9</t>
  </si>
  <si>
    <t>Cas 8 - redem T1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</si>
</sst>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0.0%"/>
    <numFmt numFmtId="167" formatCode="0.000E+00"/>
  </numFmts>
  <fonts count="15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3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8" fillId="3" borderId="3" xfId="0" quotePrefix="1" applyFont="1" applyFill="1" applyBorder="1" applyAlignment="1">
      <alignment vertical="center"/>
    </xf>
    <xf numFmtId="0" fontId="8" fillId="3" borderId="0" xfId="0" quotePrefix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2" fontId="0" fillId="3" borderId="3" xfId="0" applyNumberForma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9" fontId="10" fillId="3" borderId="3" xfId="2" applyFont="1" applyFill="1" applyBorder="1" applyAlignment="1">
      <alignment horizontal="center" vertical="center"/>
    </xf>
    <xf numFmtId="9" fontId="7" fillId="3" borderId="3" xfId="2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 vertical="center"/>
    </xf>
    <xf numFmtId="11" fontId="0" fillId="3" borderId="3" xfId="0" applyNumberFormat="1" applyFill="1" applyBorder="1" applyAlignment="1">
      <alignment horizontal="center" vertical="center"/>
    </xf>
    <xf numFmtId="166" fontId="11" fillId="3" borderId="3" xfId="2" applyNumberFormat="1" applyFont="1" applyFill="1" applyBorder="1" applyAlignment="1">
      <alignment horizontal="center" vertical="center"/>
    </xf>
    <xf numFmtId="165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4" fontId="7" fillId="3" borderId="3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horizontal="left" vertical="center"/>
    </xf>
    <xf numFmtId="0" fontId="0" fillId="3" borderId="4" xfId="0" applyFill="1" applyBorder="1" applyAlignment="1">
      <alignment vertical="center"/>
    </xf>
    <xf numFmtId="0" fontId="6" fillId="3" borderId="3" xfId="0" applyFont="1" applyFill="1" applyBorder="1" applyAlignment="1">
      <alignment vertical="center" wrapText="1"/>
    </xf>
    <xf numFmtId="9" fontId="8" fillId="3" borderId="3" xfId="2" applyFont="1" applyFill="1" applyBorder="1" applyAlignment="1">
      <alignment vertical="center"/>
    </xf>
    <xf numFmtId="2" fontId="10" fillId="3" borderId="3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2" fontId="10" fillId="3" borderId="0" xfId="0" applyNumberFormat="1" applyFont="1" applyFill="1" applyBorder="1" applyAlignment="1">
      <alignment vertical="center"/>
    </xf>
    <xf numFmtId="9" fontId="0" fillId="3" borderId="0" xfId="0" applyNumberForma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166" fontId="0" fillId="3" borderId="3" xfId="2" applyNumberFormat="1" applyFont="1" applyFill="1" applyBorder="1" applyAlignment="1">
      <alignment vertical="center"/>
    </xf>
    <xf numFmtId="9" fontId="6" fillId="3" borderId="3" xfId="2" applyFont="1" applyFill="1" applyBorder="1" applyAlignment="1">
      <alignment horizontal="center" vertical="center"/>
    </xf>
    <xf numFmtId="20" fontId="7" fillId="3" borderId="3" xfId="0" applyNumberFormat="1" applyFont="1" applyFill="1" applyBorder="1" applyAlignment="1">
      <alignment vertical="center"/>
    </xf>
    <xf numFmtId="20" fontId="14" fillId="3" borderId="3" xfId="0" applyNumberFormat="1" applyFont="1" applyFill="1" applyBorder="1" applyAlignment="1">
      <alignment horizontal="left" vertical="center"/>
    </xf>
    <xf numFmtId="22" fontId="14" fillId="3" borderId="3" xfId="0" applyNumberFormat="1" applyFont="1" applyFill="1" applyBorder="1" applyAlignment="1">
      <alignment horizontal="left" vertical="center"/>
    </xf>
    <xf numFmtId="0" fontId="1" fillId="3" borderId="3" xfId="4" applyFill="1" applyBorder="1" applyAlignment="1">
      <alignment vertical="center"/>
    </xf>
    <xf numFmtId="0" fontId="8" fillId="3" borderId="3" xfId="4" applyFont="1" applyFill="1" applyBorder="1" applyAlignment="1">
      <alignment vertical="center"/>
    </xf>
    <xf numFmtId="0" fontId="8" fillId="3" borderId="0" xfId="4" applyFont="1" applyFill="1" applyBorder="1" applyAlignment="1">
      <alignment vertical="center"/>
    </xf>
    <xf numFmtId="0" fontId="1" fillId="3" borderId="0" xfId="4" applyFill="1" applyBorder="1" applyAlignment="1">
      <alignment vertical="center"/>
    </xf>
    <xf numFmtId="0" fontId="8" fillId="3" borderId="3" xfId="4" quotePrefix="1" applyFont="1" applyFill="1" applyBorder="1" applyAlignment="1">
      <alignment vertical="center"/>
    </xf>
    <xf numFmtId="0" fontId="8" fillId="3" borderId="0" xfId="4" quotePrefix="1" applyFont="1" applyFill="1" applyBorder="1" applyAlignment="1">
      <alignment vertical="center"/>
    </xf>
    <xf numFmtId="0" fontId="1" fillId="3" borderId="3" xfId="4" applyFont="1" applyFill="1" applyBorder="1" applyAlignment="1">
      <alignment vertical="center"/>
    </xf>
    <xf numFmtId="0" fontId="4" fillId="3" borderId="0" xfId="4" applyFont="1" applyFill="1" applyBorder="1" applyAlignment="1">
      <alignment vertical="center"/>
    </xf>
    <xf numFmtId="2" fontId="1" fillId="3" borderId="3" xfId="4" applyNumberFormat="1" applyFill="1" applyBorder="1" applyAlignment="1">
      <alignment vertical="center"/>
    </xf>
    <xf numFmtId="0" fontId="1" fillId="3" borderId="3" xfId="4" applyFont="1" applyFill="1" applyBorder="1" applyAlignment="1">
      <alignment vertical="center" wrapText="1"/>
    </xf>
    <xf numFmtId="2" fontId="10" fillId="3" borderId="3" xfId="4" applyNumberFormat="1" applyFont="1" applyFill="1" applyBorder="1" applyAlignment="1">
      <alignment vertical="center"/>
    </xf>
    <xf numFmtId="0" fontId="1" fillId="3" borderId="0" xfId="4" applyFont="1" applyFill="1" applyBorder="1" applyAlignment="1">
      <alignment vertical="center"/>
    </xf>
    <xf numFmtId="2" fontId="10" fillId="3" borderId="0" xfId="4" applyNumberFormat="1" applyFont="1" applyFill="1" applyBorder="1" applyAlignment="1">
      <alignment vertical="center"/>
    </xf>
    <xf numFmtId="0" fontId="1" fillId="4" borderId="5" xfId="4" applyFill="1" applyBorder="1" applyAlignment="1">
      <alignment horizontal="center" vertical="center" wrapText="1"/>
    </xf>
    <xf numFmtId="0" fontId="4" fillId="4" borderId="5" xfId="4" applyFont="1" applyFill="1" applyBorder="1" applyAlignment="1">
      <alignment horizontal="center" vertical="center" wrapText="1"/>
    </xf>
    <xf numFmtId="0" fontId="1" fillId="3" borderId="0" xfId="4" applyFill="1" applyBorder="1" applyAlignment="1">
      <alignment horizontal="center" vertical="center" wrapText="1"/>
    </xf>
    <xf numFmtId="0" fontId="1" fillId="3" borderId="3" xfId="4" applyFont="1" applyFill="1" applyBorder="1" applyAlignment="1">
      <alignment horizontal="center" vertical="center"/>
    </xf>
    <xf numFmtId="2" fontId="1" fillId="3" borderId="3" xfId="4" applyNumberFormat="1" applyFill="1" applyBorder="1" applyAlignment="1">
      <alignment horizontal="center" vertical="center"/>
    </xf>
    <xf numFmtId="0" fontId="9" fillId="4" borderId="2" xfId="4" applyFont="1" applyFill="1" applyBorder="1" applyAlignment="1">
      <alignment horizontal="center" vertical="center"/>
    </xf>
    <xf numFmtId="0" fontId="9" fillId="3" borderId="0" xfId="4" applyFont="1" applyFill="1" applyBorder="1" applyAlignment="1">
      <alignment horizontal="center" vertical="center"/>
    </xf>
    <xf numFmtId="20" fontId="14" fillId="3" borderId="3" xfId="4" applyNumberFormat="1" applyFont="1" applyFill="1" applyBorder="1" applyAlignment="1">
      <alignment horizontal="left" vertical="center"/>
    </xf>
    <xf numFmtId="9" fontId="1" fillId="3" borderId="3" xfId="2" applyFont="1" applyFill="1" applyBorder="1" applyAlignment="1">
      <alignment horizontal="center" vertical="center"/>
    </xf>
    <xf numFmtId="2" fontId="7" fillId="3" borderId="3" xfId="4" applyNumberFormat="1" applyFont="1" applyFill="1" applyBorder="1" applyAlignment="1">
      <alignment horizontal="center" vertical="center"/>
    </xf>
    <xf numFmtId="0" fontId="1" fillId="3" borderId="3" xfId="4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1" fontId="7" fillId="3" borderId="3" xfId="4" applyNumberFormat="1" applyFont="1" applyFill="1" applyBorder="1" applyAlignment="1">
      <alignment horizontal="center" vertical="center"/>
    </xf>
    <xf numFmtId="164" fontId="7" fillId="0" borderId="3" xfId="4" applyNumberFormat="1" applyFont="1" applyFill="1" applyBorder="1" applyAlignment="1">
      <alignment horizontal="center" vertical="center"/>
    </xf>
    <xf numFmtId="11" fontId="1" fillId="3" borderId="3" xfId="4" applyNumberFormat="1" applyFill="1" applyBorder="1" applyAlignment="1">
      <alignment horizontal="center" vertical="center"/>
    </xf>
    <xf numFmtId="165" fontId="1" fillId="3" borderId="3" xfId="4" applyNumberFormat="1" applyFill="1" applyBorder="1" applyAlignment="1">
      <alignment horizontal="center" vertical="center"/>
    </xf>
    <xf numFmtId="164" fontId="1" fillId="3" borderId="3" xfId="4" applyNumberFormat="1" applyFill="1" applyBorder="1" applyAlignment="1">
      <alignment horizontal="center" vertical="center"/>
    </xf>
    <xf numFmtId="22" fontId="14" fillId="3" borderId="3" xfId="4" applyNumberFormat="1" applyFont="1" applyFill="1" applyBorder="1" applyAlignment="1">
      <alignment horizontal="left" vertical="center"/>
    </xf>
    <xf numFmtId="14" fontId="7" fillId="3" borderId="3" xfId="4" applyNumberFormat="1" applyFont="1" applyFill="1" applyBorder="1" applyAlignment="1">
      <alignment vertical="center"/>
    </xf>
    <xf numFmtId="0" fontId="7" fillId="3" borderId="3" xfId="4" applyFont="1" applyFill="1" applyBorder="1" applyAlignment="1">
      <alignment horizontal="left" vertical="center"/>
    </xf>
    <xf numFmtId="20" fontId="7" fillId="3" borderId="3" xfId="4" applyNumberFormat="1" applyFont="1" applyFill="1" applyBorder="1" applyAlignment="1">
      <alignment vertical="center"/>
    </xf>
    <xf numFmtId="164" fontId="1" fillId="0" borderId="3" xfId="4" applyNumberFormat="1" applyFill="1" applyBorder="1" applyAlignment="1">
      <alignment horizontal="center" vertical="center"/>
    </xf>
    <xf numFmtId="9" fontId="1" fillId="3" borderId="0" xfId="4" applyNumberFormat="1" applyFill="1" applyBorder="1" applyAlignment="1">
      <alignment vertical="center"/>
    </xf>
    <xf numFmtId="0" fontId="1" fillId="3" borderId="0" xfId="4" applyFill="1" applyBorder="1" applyAlignment="1">
      <alignment horizontal="center" vertical="center"/>
    </xf>
    <xf numFmtId="165" fontId="1" fillId="3" borderId="0" xfId="4" applyNumberFormat="1" applyFill="1" applyBorder="1" applyAlignment="1">
      <alignment horizontal="center" vertical="center"/>
    </xf>
    <xf numFmtId="0" fontId="1" fillId="3" borderId="4" xfId="4" applyFill="1" applyBorder="1" applyAlignment="1">
      <alignment vertical="center"/>
    </xf>
    <xf numFmtId="0" fontId="4" fillId="4" borderId="3" xfId="4" applyFont="1" applyFill="1" applyBorder="1" applyAlignment="1">
      <alignment horizontal="center" vertical="center"/>
    </xf>
    <xf numFmtId="0" fontId="4" fillId="4" borderId="3" xfId="4" applyFont="1" applyFill="1" applyBorder="1" applyAlignment="1">
      <alignment vertical="center"/>
    </xf>
    <xf numFmtId="9" fontId="1" fillId="3" borderId="3" xfId="2" applyFill="1" applyBorder="1" applyAlignment="1">
      <alignment horizontal="center" vertical="center"/>
    </xf>
    <xf numFmtId="2" fontId="11" fillId="3" borderId="3" xfId="4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" fillId="3" borderId="3" xfId="4" applyFont="1" applyFill="1" applyBorder="1" applyAlignment="1">
      <alignment horizontal="left" vertical="center"/>
    </xf>
    <xf numFmtId="14" fontId="1" fillId="3" borderId="3" xfId="4" applyNumberFormat="1" applyFont="1" applyFill="1" applyBorder="1" applyAlignment="1">
      <alignment vertical="center"/>
    </xf>
    <xf numFmtId="20" fontId="1" fillId="3" borderId="3" xfId="4" applyNumberFormat="1" applyFont="1" applyFill="1" applyBorder="1" applyAlignment="1">
      <alignment vertical="center"/>
    </xf>
    <xf numFmtId="2" fontId="1" fillId="3" borderId="3" xfId="4" applyNumberFormat="1" applyFont="1" applyFill="1" applyBorder="1" applyAlignment="1">
      <alignment horizontal="center" vertical="center"/>
    </xf>
    <xf numFmtId="2" fontId="1" fillId="3" borderId="0" xfId="4" applyNumberFormat="1" applyFill="1" applyBorder="1" applyAlignment="1">
      <alignment vertical="center"/>
    </xf>
    <xf numFmtId="164" fontId="1" fillId="3" borderId="3" xfId="4" applyNumberFormat="1" applyFont="1" applyFill="1" applyBorder="1" applyAlignment="1">
      <alignment horizontal="center" vertical="center"/>
    </xf>
    <xf numFmtId="1" fontId="1" fillId="3" borderId="3" xfId="4" applyNumberFormat="1" applyFont="1" applyFill="1" applyBorder="1" applyAlignment="1">
      <alignment horizontal="center" vertical="center"/>
    </xf>
    <xf numFmtId="166" fontId="1" fillId="3" borderId="3" xfId="2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164" fontId="4" fillId="3" borderId="3" xfId="4" applyNumberFormat="1" applyFont="1" applyFill="1" applyBorder="1" applyAlignment="1">
      <alignment horizontal="center" vertical="center"/>
    </xf>
    <xf numFmtId="2" fontId="1" fillId="6" borderId="3" xfId="4" applyNumberFormat="1" applyFont="1" applyFill="1" applyBorder="1" applyAlignment="1">
      <alignment horizontal="center" vertical="center"/>
    </xf>
    <xf numFmtId="2" fontId="7" fillId="7" borderId="3" xfId="0" applyNumberFormat="1" applyFont="1" applyFill="1" applyBorder="1" applyAlignment="1">
      <alignment horizontal="center" vertical="center"/>
    </xf>
    <xf numFmtId="0" fontId="4" fillId="7" borderId="0" xfId="4" applyFont="1" applyFill="1" applyBorder="1" applyAlignment="1">
      <alignment vertical="center"/>
    </xf>
    <xf numFmtId="0" fontId="1" fillId="7" borderId="0" xfId="4" applyFill="1" applyBorder="1" applyAlignment="1">
      <alignment vertical="center"/>
    </xf>
    <xf numFmtId="167" fontId="1" fillId="7" borderId="3" xfId="4" applyNumberFormat="1" applyFont="1" applyFill="1" applyBorder="1" applyAlignment="1">
      <alignment horizontal="center" vertical="center"/>
    </xf>
    <xf numFmtId="0" fontId="8" fillId="3" borderId="0" xfId="4" applyFont="1" applyFill="1" applyBorder="1" applyAlignment="1">
      <alignment horizontal="center" vertical="center"/>
    </xf>
    <xf numFmtId="0" fontId="1" fillId="3" borderId="3" xfId="4" quotePrefix="1" applyFont="1" applyFill="1" applyBorder="1" applyAlignment="1">
      <alignment vertical="center"/>
    </xf>
    <xf numFmtId="2" fontId="1" fillId="3" borderId="3" xfId="0" applyNumberFormat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165" fontId="1" fillId="0" borderId="3" xfId="4" applyNumberFormat="1" applyFont="1" applyFill="1" applyBorder="1" applyAlignment="1">
      <alignment horizontal="center" vertical="center"/>
    </xf>
    <xf numFmtId="165" fontId="1" fillId="3" borderId="3" xfId="4" applyNumberFormat="1" applyFont="1" applyFill="1" applyBorder="1" applyAlignment="1">
      <alignment horizontal="center" vertical="center"/>
    </xf>
    <xf numFmtId="165" fontId="1" fillId="3" borderId="0" xfId="4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4" applyFont="1" applyFill="1" applyBorder="1" applyAlignment="1">
      <alignment horizontal="center" vertical="center"/>
    </xf>
    <xf numFmtId="166" fontId="4" fillId="3" borderId="3" xfId="2" applyNumberFormat="1" applyFont="1" applyFill="1" applyBorder="1" applyAlignment="1">
      <alignment horizontal="center" vertical="center"/>
    </xf>
    <xf numFmtId="0" fontId="4" fillId="3" borderId="3" xfId="4" applyFont="1" applyFill="1" applyBorder="1" applyAlignment="1">
      <alignment vertical="center"/>
    </xf>
    <xf numFmtId="0" fontId="4" fillId="3" borderId="3" xfId="4" applyFont="1" applyFill="1" applyBorder="1" applyAlignment="1">
      <alignment vertical="center" wrapText="1"/>
    </xf>
    <xf numFmtId="9" fontId="4" fillId="3" borderId="3" xfId="2" applyFont="1" applyFill="1" applyBorder="1" applyAlignment="1">
      <alignment horizontal="center" vertical="center"/>
    </xf>
    <xf numFmtId="9" fontId="1" fillId="6" borderId="3" xfId="2" applyFont="1" applyFill="1" applyBorder="1" applyAlignment="1">
      <alignment horizontal="center" vertical="center"/>
    </xf>
    <xf numFmtId="2" fontId="4" fillId="3" borderId="3" xfId="4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3" xfId="4"/>
    <cellStyle name="Pourcentage" xfId="2" builtinId="5"/>
    <cellStyle name="Pourcentage 2" xfId="3"/>
  </cellStyles>
  <dxfs count="4">
    <dxf>
      <font>
        <b/>
        <i/>
        <color rgb="FF00B050"/>
      </font>
    </dxf>
    <dxf>
      <font>
        <b/>
        <i/>
        <color rgb="FFC00000"/>
      </font>
    </dxf>
    <dxf>
      <font>
        <b/>
        <i/>
        <color rgb="FF00B050"/>
      </font>
    </dxf>
    <dxf>
      <font>
        <b/>
        <i/>
        <color rgb="FFC00000"/>
      </font>
    </dxf>
  </dxfs>
  <tableStyles count="0" defaultTableStyle="TableStyleMedium9" defaultPivotStyle="PivotStyleLight16"/>
  <colors>
    <mruColors>
      <color rgb="FF0000FF"/>
      <color rgb="FFFF00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Rendement = f(U1/C0)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Rendement_th</c:v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'T1'!$AL$16:$AL$27</c:f>
              <c:numCache>
                <c:formatCode>0.00</c:formatCode>
                <c:ptCount val="12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</c:numCache>
            </c:numRef>
          </c:xVal>
          <c:yVal>
            <c:numRef>
              <c:f>'T1'!$AN$16:$AN$27</c:f>
              <c:numCache>
                <c:formatCode>0.0%</c:formatCode>
                <c:ptCount val="12"/>
                <c:pt idx="0">
                  <c:v>0</c:v>
                </c:pt>
                <c:pt idx="1">
                  <c:v>0.14639286310346403</c:v>
                </c:pt>
                <c:pt idx="2">
                  <c:v>0.31803371493357541</c:v>
                </c:pt>
                <c:pt idx="3">
                  <c:v>0.48881053822214104</c:v>
                </c:pt>
                <c:pt idx="4">
                  <c:v>0.63671762858661318</c:v>
                </c:pt>
                <c:pt idx="5">
                  <c:v>0.74385559453009098</c:v>
                </c:pt>
                <c:pt idx="6">
                  <c:v>0.79643135744131843</c:v>
                </c:pt>
                <c:pt idx="7">
                  <c:v>0.7847581515946862</c:v>
                </c:pt>
                <c:pt idx="8">
                  <c:v>0.7032555241502304</c:v>
                </c:pt>
                <c:pt idx="9">
                  <c:v>0.55044933515363215</c:v>
                </c:pt>
                <c:pt idx="10">
                  <c:v>0.32897175753622071</c:v>
                </c:pt>
                <c:pt idx="11">
                  <c:v>4.556127711496908E-2</c:v>
                </c:pt>
              </c:numCache>
            </c:numRef>
          </c:yVal>
          <c:smooth val="1"/>
        </c:ser>
        <c:ser>
          <c:idx val="1"/>
          <c:order val="1"/>
          <c:tx>
            <c:v>Nominal_th</c:v>
          </c:tx>
          <c:spPr>
            <a:ln w="28575">
              <a:noFill/>
            </a:ln>
          </c:spPr>
          <c:xVal>
            <c:numRef>
              <c:f>'T1'!$AE$17</c:f>
              <c:numCache>
                <c:formatCode>0.000</c:formatCode>
                <c:ptCount val="1"/>
                <c:pt idx="0">
                  <c:v>0.6268448101549563</c:v>
                </c:pt>
              </c:numCache>
            </c:numRef>
          </c:xVal>
          <c:yVal>
            <c:numRef>
              <c:f>'T1'!$AA$17</c:f>
              <c:numCache>
                <c:formatCode>0.0%</c:formatCode>
                <c:ptCount val="1"/>
                <c:pt idx="0">
                  <c:v>0.75234688662526128</c:v>
                </c:pt>
              </c:numCache>
            </c:numRef>
          </c:yVal>
        </c:ser>
        <c:ser>
          <c:idx val="2"/>
          <c:order val="2"/>
          <c:tx>
            <c:v>Test</c:v>
          </c:tx>
          <c:spPr>
            <a:ln w="28575">
              <a:noFill/>
            </a:ln>
          </c:spPr>
          <c:xVal>
            <c:numRef>
              <c:f>'T1'!$AE$18</c:f>
              <c:numCache>
                <c:formatCode>0.000</c:formatCode>
                <c:ptCount val="1"/>
                <c:pt idx="0">
                  <c:v>0.61610769979197111</c:v>
                </c:pt>
              </c:numCache>
            </c:numRef>
          </c:xVal>
          <c:yVal>
            <c:numRef>
              <c:f>'T1'!$AA$18</c:f>
              <c:numCache>
                <c:formatCode>0.0%</c:formatCode>
                <c:ptCount val="1"/>
                <c:pt idx="0">
                  <c:v>0.7982660077485062</c:v>
                </c:pt>
              </c:numCache>
            </c:numRef>
          </c:yVal>
        </c:ser>
        <c:ser>
          <c:idx val="3"/>
          <c:order val="3"/>
          <c:tx>
            <c:v>Cas testés</c:v>
          </c:tx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[0]!Plage_U1C0_T1</c:f>
              <c:numCache>
                <c:formatCode>0.000</c:formatCode>
                <c:ptCount val="17"/>
                <c:pt idx="0">
                  <c:v>0.59994329205367314</c:v>
                </c:pt>
                <c:pt idx="1">
                  <c:v>0.6073163021811524</c:v>
                </c:pt>
                <c:pt idx="2">
                  <c:v>0.61024031332330586</c:v>
                </c:pt>
                <c:pt idx="3">
                  <c:v>0.61029202422438877</c:v>
                </c:pt>
                <c:pt idx="4">
                  <c:v>0.61068735564900889</c:v>
                </c:pt>
                <c:pt idx="5">
                  <c:v>0.60398767729289726</c:v>
                </c:pt>
                <c:pt idx="6">
                  <c:v>0.59470151901012813</c:v>
                </c:pt>
                <c:pt idx="7">
                  <c:v>0.57264312172799858</c:v>
                </c:pt>
                <c:pt idx="8">
                  <c:v>0.48217643765606788</c:v>
                </c:pt>
                <c:pt idx="9">
                  <c:v>0.57270775830958021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xVal>
          <c:yVal>
            <c:numRef>
              <c:f>[0]!Plage_RendementT1</c:f>
              <c:numCache>
                <c:formatCode>0.0%</c:formatCode>
                <c:ptCount val="17"/>
                <c:pt idx="0">
                  <c:v>0.5997835165029245</c:v>
                </c:pt>
                <c:pt idx="1">
                  <c:v>0.59761626346992625</c:v>
                </c:pt>
                <c:pt idx="2">
                  <c:v>0.58759509697104872</c:v>
                </c:pt>
                <c:pt idx="3">
                  <c:v>0.59521905679398768</c:v>
                </c:pt>
                <c:pt idx="4">
                  <c:v>0.60329680488303217</c:v>
                </c:pt>
                <c:pt idx="5">
                  <c:v>0.59947829068377045</c:v>
                </c:pt>
                <c:pt idx="6">
                  <c:v>0.59764726169598115</c:v>
                </c:pt>
                <c:pt idx="7">
                  <c:v>0.59666493006972909</c:v>
                </c:pt>
                <c:pt idx="8">
                  <c:v>0.33086864439565239</c:v>
                </c:pt>
                <c:pt idx="9">
                  <c:v>0.64101651684381145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</c:ser>
        <c:axId val="184470912"/>
        <c:axId val="185403264"/>
      </c:scatterChart>
      <c:valAx>
        <c:axId val="184470912"/>
        <c:scaling>
          <c:orientation val="minMax"/>
          <c:max val="0.8"/>
        </c:scaling>
        <c:axPos val="b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fr-FR" sz="1200"/>
                  <a:t>U1/C0</a:t>
                </a:r>
              </a:p>
            </c:rich>
          </c:tx>
          <c:layout/>
        </c:title>
        <c:numFmt formatCode="0.0" sourceLinked="0"/>
        <c:majorTickMark val="none"/>
        <c:tickLblPos val="nextTo"/>
        <c:crossAx val="185403264"/>
        <c:crosses val="autoZero"/>
        <c:crossBetween val="midCat"/>
      </c:valAx>
      <c:valAx>
        <c:axId val="18540326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Rendement</a:t>
                </a:r>
              </a:p>
            </c:rich>
          </c:tx>
          <c:layout/>
        </c:title>
        <c:numFmt formatCode="0%" sourceLinked="0"/>
        <c:majorTickMark val="none"/>
        <c:tickLblPos val="nextTo"/>
        <c:crossAx val="184470912"/>
        <c:crosses val="autoZero"/>
        <c:crossBetween val="midCat"/>
      </c:valAx>
    </c:plotArea>
    <c:legend>
      <c:legendPos val="b"/>
      <c:layout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/>
              <a:t>Rendement = f(U1/C0)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Rendement_th</c:v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'T2'!$AJ$16:$AJ$27</c:f>
              <c:numCache>
                <c:formatCode>0.00</c:formatCode>
                <c:ptCount val="12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</c:numCache>
            </c:numRef>
          </c:xVal>
          <c:yVal>
            <c:numRef>
              <c:f>'T2'!$AL$16:$AL$27</c:f>
              <c:numCache>
                <c:formatCode>0.0%</c:formatCode>
                <c:ptCount val="12"/>
                <c:pt idx="0">
                  <c:v>0</c:v>
                </c:pt>
                <c:pt idx="1">
                  <c:v>0.14857121007384283</c:v>
                </c:pt>
                <c:pt idx="2">
                  <c:v>0.32269834837396216</c:v>
                </c:pt>
                <c:pt idx="3">
                  <c:v>0.49535053657588796</c:v>
                </c:pt>
                <c:pt idx="4">
                  <c:v>0.64381159599729687</c:v>
                </c:pt>
                <c:pt idx="5">
                  <c:v>0.74968004759801365</c:v>
                </c:pt>
                <c:pt idx="6">
                  <c:v>0.79886911198000987</c:v>
                </c:pt>
                <c:pt idx="7">
                  <c:v>0.78160670938740406</c:v>
                </c:pt>
                <c:pt idx="8">
                  <c:v>0.69243545970646281</c:v>
                </c:pt>
                <c:pt idx="9">
                  <c:v>0.53021268246559972</c:v>
                </c:pt>
                <c:pt idx="10">
                  <c:v>0.29811039683537538</c:v>
                </c:pt>
                <c:pt idx="11">
                  <c:v>3.6153216284977394E-3</c:v>
                </c:pt>
              </c:numCache>
            </c:numRef>
          </c:yVal>
          <c:smooth val="1"/>
        </c:ser>
        <c:ser>
          <c:idx val="1"/>
          <c:order val="1"/>
          <c:tx>
            <c:v>Nominal_th</c:v>
          </c:tx>
          <c:spPr>
            <a:ln w="28575">
              <a:noFill/>
            </a:ln>
          </c:spPr>
          <c:xVal>
            <c:numRef>
              <c:f>'T2'!$AC$17</c:f>
              <c:numCache>
                <c:formatCode>0.000</c:formatCode>
                <c:ptCount val="1"/>
                <c:pt idx="0">
                  <c:v>0.61933452881197348</c:v>
                </c:pt>
              </c:numCache>
            </c:numRef>
          </c:xVal>
          <c:yVal>
            <c:numRef>
              <c:f>'T2'!$Y$17</c:f>
              <c:numCache>
                <c:formatCode>0.0%</c:formatCode>
                <c:ptCount val="1"/>
                <c:pt idx="0">
                  <c:v>0.73069500436501444</c:v>
                </c:pt>
              </c:numCache>
            </c:numRef>
          </c:yVal>
        </c:ser>
        <c:ser>
          <c:idx val="2"/>
          <c:order val="2"/>
          <c:tx>
            <c:v>Test</c:v>
          </c:tx>
          <c:spPr>
            <a:ln w="28575">
              <a:noFill/>
            </a:ln>
          </c:spPr>
          <c:xVal>
            <c:numRef>
              <c:f>'T2'!$AC$18</c:f>
              <c:numCache>
                <c:formatCode>0.000</c:formatCode>
                <c:ptCount val="1"/>
                <c:pt idx="0">
                  <c:v>0.62271233055446618</c:v>
                </c:pt>
              </c:numCache>
            </c:numRef>
          </c:xVal>
          <c:yVal>
            <c:numRef>
              <c:f>'T2'!$Y$18</c:f>
              <c:numCache>
                <c:formatCode>0.0%</c:formatCode>
                <c:ptCount val="1"/>
                <c:pt idx="0">
                  <c:v>0.79929519429138729</c:v>
                </c:pt>
              </c:numCache>
            </c:numRef>
          </c:yVal>
        </c:ser>
        <c:ser>
          <c:idx val="3"/>
          <c:order val="3"/>
          <c:spPr>
            <a:ln w="28575">
              <a:noFill/>
            </a:ln>
          </c:spPr>
          <c:marker>
            <c:symbol val="circle"/>
            <c:size val="7"/>
          </c:marker>
          <c:xVal>
            <c:numRef>
              <c:f>'T2'!$AC$19:$AC$35</c:f>
              <c:numCache>
                <c:formatCode>0.000</c:formatCode>
                <c:ptCount val="17"/>
                <c:pt idx="0">
                  <c:v>0.54799933279470014</c:v>
                </c:pt>
                <c:pt idx="1">
                  <c:v>0.55417376678273622</c:v>
                </c:pt>
                <c:pt idx="2">
                  <c:v>0.56211549504760028</c:v>
                </c:pt>
                <c:pt idx="3">
                  <c:v>0.56110267138824532</c:v>
                </c:pt>
                <c:pt idx="4">
                  <c:v>0.56260575181016814</c:v>
                </c:pt>
                <c:pt idx="5">
                  <c:v>0.56470858728791329</c:v>
                </c:pt>
                <c:pt idx="6">
                  <c:v>0.54768129423650458</c:v>
                </c:pt>
                <c:pt idx="7">
                  <c:v>0.53819956827015814</c:v>
                </c:pt>
                <c:pt idx="8">
                  <c:v>0.47137914334297598</c:v>
                </c:pt>
                <c:pt idx="9">
                  <c:v>0.54239270635756365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xVal>
          <c:yVal>
            <c:numRef>
              <c:f>'T2'!$Y$19:$Y$35</c:f>
              <c:numCache>
                <c:formatCode>0.0%</c:formatCode>
                <c:ptCount val="17"/>
                <c:pt idx="0">
                  <c:v>0.3994076714244611</c:v>
                </c:pt>
                <c:pt idx="1">
                  <c:v>0.39614677042441931</c:v>
                </c:pt>
                <c:pt idx="2">
                  <c:v>0.39051868222995689</c:v>
                </c:pt>
                <c:pt idx="3">
                  <c:v>0.40514550775191199</c:v>
                </c:pt>
                <c:pt idx="4">
                  <c:v>0.39619230862851307</c:v>
                </c:pt>
                <c:pt idx="5">
                  <c:v>0.40007055897410515</c:v>
                </c:pt>
                <c:pt idx="6">
                  <c:v>0.38940884594494574</c:v>
                </c:pt>
                <c:pt idx="7">
                  <c:v>0.37986220044027164</c:v>
                </c:pt>
                <c:pt idx="8">
                  <c:v>0.22911610256144208</c:v>
                </c:pt>
                <c:pt idx="9">
                  <c:v>0.42392896922371842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yVal>
        </c:ser>
        <c:axId val="185643776"/>
        <c:axId val="185645696"/>
      </c:scatterChart>
      <c:valAx>
        <c:axId val="185643776"/>
        <c:scaling>
          <c:orientation val="minMax"/>
          <c:max val="0.8"/>
        </c:scaling>
        <c:axPos val="b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fr-FR" sz="1200"/>
                  <a:t>U1/C0</a:t>
                </a:r>
              </a:p>
            </c:rich>
          </c:tx>
          <c:layout/>
        </c:title>
        <c:numFmt formatCode="0.0" sourceLinked="0"/>
        <c:majorTickMark val="none"/>
        <c:tickLblPos val="nextTo"/>
        <c:crossAx val="185645696"/>
        <c:crosses val="autoZero"/>
        <c:crossBetween val="midCat"/>
      </c:valAx>
      <c:valAx>
        <c:axId val="18564569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Rendement</a:t>
                </a:r>
              </a:p>
            </c:rich>
          </c:tx>
          <c:layout/>
        </c:title>
        <c:numFmt formatCode="0%" sourceLinked="0"/>
        <c:majorTickMark val="none"/>
        <c:tickLblPos val="nextTo"/>
        <c:crossAx val="185643776"/>
        <c:crosses val="autoZero"/>
        <c:crossBetween val="midCat"/>
      </c:valAx>
    </c:plotArea>
    <c:legend>
      <c:legendPos val="b"/>
      <c:layout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466163</xdr:colOff>
      <xdr:row>38</xdr:row>
      <xdr:rowOff>134471</xdr:rowOff>
    </xdr:from>
    <xdr:to>
      <xdr:col>14</xdr:col>
      <xdr:colOff>594175</xdr:colOff>
      <xdr:row>69</xdr:row>
      <xdr:rowOff>78441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690282</xdr:colOff>
      <xdr:row>45</xdr:row>
      <xdr:rowOff>11207</xdr:rowOff>
    </xdr:from>
    <xdr:to>
      <xdr:col>16</xdr:col>
      <xdr:colOff>56294</xdr:colOff>
      <xdr:row>75</xdr:row>
      <xdr:rowOff>112058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HePak.xla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hecalc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4"/>
  <dimension ref="A1:A39"/>
  <sheetViews>
    <sheetView showGridLines="0" workbookViewId="0">
      <selection activeCell="A12" sqref="A12"/>
    </sheetView>
  </sheetViews>
  <sheetFormatPr baseColWidth="10" defaultRowHeight="12.75"/>
  <cols>
    <col min="1" max="1" width="19" style="1" customWidth="1"/>
    <col min="2" max="16384" width="11.42578125" style="1"/>
  </cols>
  <sheetData>
    <row r="1" spans="1:1">
      <c r="A1" s="2" t="s">
        <v>6</v>
      </c>
    </row>
    <row r="2" spans="1:1">
      <c r="A2" s="3" t="s">
        <v>7</v>
      </c>
    </row>
    <row r="3" spans="1:1">
      <c r="A3" s="4" t="s">
        <v>0</v>
      </c>
    </row>
    <row r="4" spans="1:1">
      <c r="A4" s="4" t="s">
        <v>8</v>
      </c>
    </row>
    <row r="5" spans="1:1">
      <c r="A5" s="4" t="s">
        <v>9</v>
      </c>
    </row>
    <row r="6" spans="1:1">
      <c r="A6" s="4" t="s">
        <v>10</v>
      </c>
    </row>
    <row r="7" spans="1:1">
      <c r="A7" s="4" t="s">
        <v>11</v>
      </c>
    </row>
    <row r="8" spans="1:1">
      <c r="A8" s="4" t="s">
        <v>12</v>
      </c>
    </row>
    <row r="9" spans="1:1">
      <c r="A9" s="4" t="s">
        <v>1</v>
      </c>
    </row>
    <row r="10" spans="1:1">
      <c r="A10" s="4" t="s">
        <v>13</v>
      </c>
    </row>
    <row r="11" spans="1:1">
      <c r="A11" s="4" t="s">
        <v>13</v>
      </c>
    </row>
    <row r="12" spans="1:1">
      <c r="A12" s="4" t="s">
        <v>2</v>
      </c>
    </row>
    <row r="13" spans="1:1">
      <c r="A13" s="4" t="s">
        <v>14</v>
      </c>
    </row>
    <row r="14" spans="1:1">
      <c r="A14" s="4" t="s">
        <v>15</v>
      </c>
    </row>
    <row r="15" spans="1:1">
      <c r="A15" s="4" t="s">
        <v>16</v>
      </c>
    </row>
    <row r="16" spans="1:1">
      <c r="A16" s="4" t="s">
        <v>17</v>
      </c>
    </row>
    <row r="17" spans="1:1">
      <c r="A17" s="4" t="s">
        <v>3</v>
      </c>
    </row>
    <row r="18" spans="1:1">
      <c r="A18" s="4" t="s">
        <v>4</v>
      </c>
    </row>
    <row r="19" spans="1:1">
      <c r="A19" s="4" t="s">
        <v>18</v>
      </c>
    </row>
    <row r="20" spans="1:1">
      <c r="A20" s="4" t="s">
        <v>18</v>
      </c>
    </row>
    <row r="21" spans="1:1">
      <c r="A21" s="4" t="s">
        <v>19</v>
      </c>
    </row>
    <row r="22" spans="1:1">
      <c r="A22" s="4" t="s">
        <v>20</v>
      </c>
    </row>
    <row r="23" spans="1:1">
      <c r="A23" s="4" t="s">
        <v>20</v>
      </c>
    </row>
    <row r="24" spans="1:1">
      <c r="A24" s="4" t="s">
        <v>21</v>
      </c>
    </row>
    <row r="25" spans="1:1">
      <c r="A25" s="4" t="s">
        <v>22</v>
      </c>
    </row>
    <row r="26" spans="1:1">
      <c r="A26" s="4" t="s">
        <v>22</v>
      </c>
    </row>
    <row r="27" spans="1:1">
      <c r="A27" s="4" t="s">
        <v>5</v>
      </c>
    </row>
    <row r="28" spans="1:1">
      <c r="A28" s="4" t="s">
        <v>23</v>
      </c>
    </row>
    <row r="29" spans="1:1">
      <c r="A29" s="4" t="s">
        <v>24</v>
      </c>
    </row>
    <row r="30" spans="1:1">
      <c r="A30" s="4" t="s">
        <v>25</v>
      </c>
    </row>
    <row r="31" spans="1:1">
      <c r="A31" s="4" t="s">
        <v>26</v>
      </c>
    </row>
    <row r="32" spans="1:1">
      <c r="A32" s="4" t="s">
        <v>27</v>
      </c>
    </row>
    <row r="33" spans="1:1">
      <c r="A33" s="4" t="s">
        <v>28</v>
      </c>
    </row>
    <row r="34" spans="1:1">
      <c r="A34" s="4" t="s">
        <v>29</v>
      </c>
    </row>
    <row r="35" spans="1:1">
      <c r="A35" s="4" t="s">
        <v>30</v>
      </c>
    </row>
    <row r="36" spans="1:1">
      <c r="A36" s="4" t="s">
        <v>31</v>
      </c>
    </row>
    <row r="37" spans="1:1">
      <c r="A37" s="4" t="s">
        <v>32</v>
      </c>
    </row>
    <row r="38" spans="1:1">
      <c r="A38" s="4" t="s">
        <v>32</v>
      </c>
    </row>
    <row r="39" spans="1:1">
      <c r="A39" s="4" t="s">
        <v>33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E20"/>
  <sheetViews>
    <sheetView workbookViewId="0">
      <selection activeCell="E4" sqref="D4:E4"/>
    </sheetView>
  </sheetViews>
  <sheetFormatPr baseColWidth="10" defaultRowHeight="12.75"/>
  <cols>
    <col min="1" max="1" width="11.42578125" style="90"/>
    <col min="2" max="2" width="8.7109375" style="90" bestFit="1" customWidth="1"/>
    <col min="3" max="3" width="35" style="90" customWidth="1"/>
    <col min="4" max="4" width="10.140625" style="90" bestFit="1" customWidth="1"/>
    <col min="5" max="5" width="13.140625" style="90" bestFit="1" customWidth="1"/>
    <col min="6" max="16384" width="11.42578125" style="90"/>
  </cols>
  <sheetData>
    <row r="1" spans="2:5" ht="13.5" thickBot="1"/>
    <row r="2" spans="2:5">
      <c r="B2" s="91" t="s">
        <v>109</v>
      </c>
      <c r="C2" s="92" t="s">
        <v>110</v>
      </c>
      <c r="D2" s="92" t="s">
        <v>104</v>
      </c>
      <c r="E2" s="93" t="s">
        <v>105</v>
      </c>
    </row>
    <row r="3" spans="2:5" ht="38.25">
      <c r="B3" s="94" t="s">
        <v>171</v>
      </c>
      <c r="C3" s="95" t="s">
        <v>106</v>
      </c>
      <c r="D3" s="96" t="s">
        <v>107</v>
      </c>
      <c r="E3" s="97" t="s">
        <v>108</v>
      </c>
    </row>
    <row r="4" spans="2:5" ht="25.5">
      <c r="B4" s="94" t="s">
        <v>172</v>
      </c>
      <c r="C4" s="95" t="s">
        <v>173</v>
      </c>
      <c r="D4" s="96" t="s">
        <v>174</v>
      </c>
      <c r="E4" s="97" t="s">
        <v>108</v>
      </c>
    </row>
    <row r="5" spans="2:5">
      <c r="B5" s="98"/>
      <c r="C5" s="21"/>
      <c r="D5" s="21"/>
      <c r="E5" s="99"/>
    </row>
    <row r="6" spans="2:5">
      <c r="B6" s="98"/>
      <c r="C6" s="21"/>
      <c r="D6" s="21"/>
      <c r="E6" s="99"/>
    </row>
    <row r="7" spans="2:5">
      <c r="B7" s="98"/>
      <c r="C7" s="21"/>
      <c r="D7" s="21"/>
      <c r="E7" s="99"/>
    </row>
    <row r="8" spans="2:5">
      <c r="B8" s="98"/>
      <c r="C8" s="21"/>
      <c r="D8" s="21"/>
      <c r="E8" s="99"/>
    </row>
    <row r="9" spans="2:5">
      <c r="B9" s="98"/>
      <c r="C9" s="21"/>
      <c r="D9" s="21"/>
      <c r="E9" s="99"/>
    </row>
    <row r="10" spans="2:5">
      <c r="B10" s="98"/>
      <c r="C10" s="21"/>
      <c r="D10" s="21"/>
      <c r="E10" s="99"/>
    </row>
    <row r="11" spans="2:5">
      <c r="B11" s="98"/>
      <c r="C11" s="21"/>
      <c r="D11" s="21"/>
      <c r="E11" s="99"/>
    </row>
    <row r="12" spans="2:5">
      <c r="B12" s="98"/>
      <c r="C12" s="21"/>
      <c r="D12" s="21"/>
      <c r="E12" s="99"/>
    </row>
    <row r="13" spans="2:5">
      <c r="B13" s="98"/>
      <c r="C13" s="21"/>
      <c r="D13" s="21"/>
      <c r="E13" s="99"/>
    </row>
    <row r="14" spans="2:5">
      <c r="B14" s="98"/>
      <c r="C14" s="21"/>
      <c r="D14" s="21"/>
      <c r="E14" s="99"/>
    </row>
    <row r="15" spans="2:5">
      <c r="B15" s="98"/>
      <c r="C15" s="21"/>
      <c r="D15" s="21"/>
      <c r="E15" s="99"/>
    </row>
    <row r="16" spans="2:5">
      <c r="B16" s="98"/>
      <c r="C16" s="21"/>
      <c r="D16" s="21"/>
      <c r="E16" s="99"/>
    </row>
    <row r="17" spans="2:5">
      <c r="B17" s="98"/>
      <c r="C17" s="21"/>
      <c r="D17" s="21"/>
      <c r="E17" s="99"/>
    </row>
    <row r="18" spans="2:5">
      <c r="B18" s="98"/>
      <c r="C18" s="21"/>
      <c r="D18" s="21"/>
      <c r="E18" s="99"/>
    </row>
    <row r="19" spans="2:5">
      <c r="B19" s="98"/>
      <c r="C19" s="21"/>
      <c r="D19" s="21"/>
      <c r="E19" s="99"/>
    </row>
    <row r="20" spans="2:5" ht="13.5" thickBot="1">
      <c r="B20" s="100"/>
      <c r="C20" s="101"/>
      <c r="D20" s="101"/>
      <c r="E20" s="10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2"/>
  <dimension ref="A1:AN35"/>
  <sheetViews>
    <sheetView topLeftCell="A13" zoomScale="85" zoomScaleNormal="85" workbookViewId="0">
      <selection activeCell="A28" sqref="A28"/>
    </sheetView>
  </sheetViews>
  <sheetFormatPr baseColWidth="10" defaultRowHeight="12.75"/>
  <cols>
    <col min="1" max="1" width="18.42578125" style="32" customWidth="1"/>
    <col min="2" max="2" width="10.28515625" style="32" bestFit="1" customWidth="1"/>
    <col min="3" max="3" width="8.140625" style="32" customWidth="1"/>
    <col min="4" max="4" width="11.42578125" style="32" customWidth="1"/>
    <col min="5" max="5" width="11.42578125" style="32"/>
    <col min="6" max="7" width="11.42578125" style="32" customWidth="1"/>
    <col min="8" max="8" width="15.85546875" style="32" customWidth="1"/>
    <col min="9" max="18" width="11.42578125" style="32"/>
    <col min="19" max="20" width="11.42578125" style="32" customWidth="1"/>
    <col min="21" max="23" width="11.42578125" style="32"/>
    <col min="24" max="26" width="11.42578125" style="32" customWidth="1"/>
    <col min="27" max="27" width="11.85546875" style="32" bestFit="1" customWidth="1"/>
    <col min="28" max="39" width="11.42578125" style="32"/>
    <col min="40" max="40" width="13" style="32" bestFit="1" customWidth="1"/>
    <col min="41" max="16384" width="11.42578125" style="32"/>
  </cols>
  <sheetData>
    <row r="1" spans="1:40" s="11" customFormat="1">
      <c r="A1" s="8" t="s">
        <v>51</v>
      </c>
      <c r="B1" s="9" t="s">
        <v>52</v>
      </c>
      <c r="C1" s="10"/>
    </row>
    <row r="2" spans="1:40" s="11" customFormat="1">
      <c r="A2" s="8" t="s">
        <v>53</v>
      </c>
      <c r="B2" s="12" t="s">
        <v>54</v>
      </c>
      <c r="C2" s="13"/>
    </row>
    <row r="3" spans="1:40" s="11" customFormat="1">
      <c r="A3" s="14" t="s">
        <v>55</v>
      </c>
      <c r="B3" s="9" t="s">
        <v>56</v>
      </c>
      <c r="C3" s="10"/>
    </row>
    <row r="4" spans="1:40" s="11" customFormat="1"/>
    <row r="5" spans="1:40" s="11" customFormat="1">
      <c r="A5" s="125" t="s">
        <v>57</v>
      </c>
      <c r="B5" s="125"/>
      <c r="C5" s="125"/>
      <c r="D5" s="15"/>
    </row>
    <row r="6" spans="1:40" s="11" customFormat="1">
      <c r="A6" s="14" t="s">
        <v>58</v>
      </c>
      <c r="B6" s="9">
        <v>20</v>
      </c>
      <c r="C6" s="14" t="s">
        <v>59</v>
      </c>
    </row>
    <row r="7" spans="1:40" s="11" customFormat="1">
      <c r="A7" s="14" t="s">
        <v>48</v>
      </c>
      <c r="B7" s="9">
        <v>0.5</v>
      </c>
      <c r="C7" s="8"/>
    </row>
    <row r="8" spans="1:40" s="11" customFormat="1">
      <c r="A8" s="14" t="s">
        <v>75</v>
      </c>
      <c r="B8" s="16">
        <f>$S$17*SQRT($N$17*$T$17)/$E$17</f>
        <v>17.284180123471902</v>
      </c>
      <c r="C8" s="8"/>
    </row>
    <row r="9" spans="1:40" s="11" customFormat="1">
      <c r="A9" s="14" t="s">
        <v>76</v>
      </c>
      <c r="B9" s="16">
        <f>S18*SQRT($N$18*$T$18)/$E$18</f>
        <v>18.799979591015237</v>
      </c>
      <c r="C9" s="8"/>
    </row>
    <row r="10" spans="1:40" s="11" customFormat="1" ht="25.5">
      <c r="A10" s="33" t="s">
        <v>86</v>
      </c>
      <c r="B10" s="34">
        <v>0.06</v>
      </c>
      <c r="C10" s="8"/>
    </row>
    <row r="11" spans="1:40" s="11" customFormat="1">
      <c r="A11" s="14" t="s">
        <v>87</v>
      </c>
      <c r="B11" s="35">
        <f>B9*(1-B10)</f>
        <v>17.671980815554321</v>
      </c>
      <c r="C11" s="8"/>
    </row>
    <row r="12" spans="1:40" s="11" customFormat="1">
      <c r="A12" s="38"/>
      <c r="B12" s="39"/>
    </row>
    <row r="13" spans="1:40" s="11" customFormat="1">
      <c r="A13" s="111" t="s">
        <v>141</v>
      </c>
      <c r="B13" s="39"/>
      <c r="E13" s="111" t="s">
        <v>142</v>
      </c>
      <c r="G13" s="111" t="s">
        <v>143</v>
      </c>
      <c r="I13" s="111" t="s">
        <v>146</v>
      </c>
      <c r="L13" s="111" t="s">
        <v>150</v>
      </c>
      <c r="M13" s="111" t="s">
        <v>152</v>
      </c>
      <c r="N13" s="111" t="s">
        <v>153</v>
      </c>
      <c r="O13" s="111" t="s">
        <v>154</v>
      </c>
      <c r="Q13" s="111" t="s">
        <v>148</v>
      </c>
      <c r="R13" s="111" t="s">
        <v>147</v>
      </c>
    </row>
    <row r="14" spans="1:40" s="11" customFormat="1">
      <c r="E14" s="11" t="str">
        <f>"= Pin T1"</f>
        <v>= Pin T1</v>
      </c>
    </row>
    <row r="15" spans="1:40" s="5" customFormat="1" ht="25.5">
      <c r="A15" s="7"/>
      <c r="B15" s="6" t="s">
        <v>60</v>
      </c>
      <c r="C15" s="6" t="s">
        <v>61</v>
      </c>
      <c r="D15" s="6" t="s">
        <v>50</v>
      </c>
      <c r="E15" s="6" t="s">
        <v>49</v>
      </c>
      <c r="F15" s="6" t="s">
        <v>72</v>
      </c>
      <c r="G15" s="6" t="s">
        <v>115</v>
      </c>
      <c r="H15" s="6" t="s">
        <v>145</v>
      </c>
      <c r="I15" s="6" t="s">
        <v>74</v>
      </c>
      <c r="J15" s="6" t="s">
        <v>83</v>
      </c>
      <c r="K15" s="6" t="s">
        <v>84</v>
      </c>
      <c r="L15" s="6" t="s">
        <v>88</v>
      </c>
      <c r="M15" s="6" t="s">
        <v>89</v>
      </c>
      <c r="N15" s="6" t="s">
        <v>37</v>
      </c>
      <c r="O15" s="6" t="s">
        <v>38</v>
      </c>
      <c r="P15" s="6" t="s">
        <v>77</v>
      </c>
      <c r="Q15" s="6" t="s">
        <v>73</v>
      </c>
      <c r="R15" s="6" t="s">
        <v>71</v>
      </c>
      <c r="S15" s="6" t="s">
        <v>85</v>
      </c>
      <c r="T15" s="6" t="s">
        <v>103</v>
      </c>
      <c r="U15" s="6" t="s">
        <v>62</v>
      </c>
      <c r="V15" s="6" t="s">
        <v>64</v>
      </c>
      <c r="W15" s="6" t="s">
        <v>66</v>
      </c>
      <c r="X15" s="6" t="s">
        <v>65</v>
      </c>
      <c r="Y15" s="6" t="s">
        <v>68</v>
      </c>
      <c r="Z15" s="6" t="s">
        <v>69</v>
      </c>
      <c r="AA15" s="6" t="s">
        <v>70</v>
      </c>
      <c r="AB15" s="6" t="s">
        <v>82</v>
      </c>
      <c r="AC15" s="6" t="s">
        <v>79</v>
      </c>
      <c r="AD15" s="6" t="s">
        <v>80</v>
      </c>
      <c r="AE15" s="6" t="s">
        <v>35</v>
      </c>
      <c r="AF15" s="6" t="s">
        <v>45</v>
      </c>
      <c r="AG15" s="6" t="s">
        <v>46</v>
      </c>
      <c r="AH15" s="6" t="s">
        <v>47</v>
      </c>
      <c r="AI15" s="6" t="s">
        <v>91</v>
      </c>
      <c r="AJ15" s="6" t="s">
        <v>139</v>
      </c>
      <c r="AL15" s="41" t="s">
        <v>35</v>
      </c>
      <c r="AM15" s="22"/>
      <c r="AN15" s="41" t="s">
        <v>90</v>
      </c>
    </row>
    <row r="16" spans="1:40" s="18" customFormat="1">
      <c r="A16" s="17"/>
      <c r="B16" s="17"/>
      <c r="C16" s="17"/>
      <c r="D16" s="17" t="s">
        <v>43</v>
      </c>
      <c r="E16" s="17" t="s">
        <v>43</v>
      </c>
      <c r="F16" s="17" t="s">
        <v>78</v>
      </c>
      <c r="G16" s="17"/>
      <c r="H16" s="17" t="s">
        <v>43</v>
      </c>
      <c r="I16" s="17" t="s">
        <v>43</v>
      </c>
      <c r="J16" s="17" t="s">
        <v>43</v>
      </c>
      <c r="K16" s="17"/>
      <c r="L16" s="17" t="s">
        <v>43</v>
      </c>
      <c r="M16" s="17" t="s">
        <v>43</v>
      </c>
      <c r="N16" s="17" t="s">
        <v>42</v>
      </c>
      <c r="O16" s="17" t="s">
        <v>42</v>
      </c>
      <c r="P16" s="17" t="s">
        <v>42</v>
      </c>
      <c r="Q16" s="17" t="s">
        <v>39</v>
      </c>
      <c r="R16" s="17" t="s">
        <v>34</v>
      </c>
      <c r="S16" s="17" t="s">
        <v>40</v>
      </c>
      <c r="T16" s="17"/>
      <c r="U16" s="17" t="s">
        <v>63</v>
      </c>
      <c r="V16" s="17" t="s">
        <v>63</v>
      </c>
      <c r="W16" s="17" t="s">
        <v>67</v>
      </c>
      <c r="X16" s="17" t="s">
        <v>63</v>
      </c>
      <c r="Y16" s="17" t="s">
        <v>63</v>
      </c>
      <c r="Z16" s="17" t="s">
        <v>63</v>
      </c>
      <c r="AA16" s="17" t="s">
        <v>39</v>
      </c>
      <c r="AB16" s="17" t="s">
        <v>41</v>
      </c>
      <c r="AC16" s="17" t="s">
        <v>81</v>
      </c>
      <c r="AD16" s="17" t="s">
        <v>81</v>
      </c>
      <c r="AE16" s="17"/>
      <c r="AF16" s="17"/>
      <c r="AG16" s="17" t="s">
        <v>67</v>
      </c>
      <c r="AH16" s="17" t="s">
        <v>67</v>
      </c>
      <c r="AI16" s="17" t="s">
        <v>92</v>
      </c>
      <c r="AJ16" s="17"/>
      <c r="AL16" s="16">
        <v>0</v>
      </c>
      <c r="AM16" s="16">
        <f t="shared" ref="AM16:AM27" si="0">AL16/U1C0_thT1</f>
        <v>0</v>
      </c>
      <c r="AN16" s="42">
        <f t="shared" ref="AN16:AN27" si="1">(0.321*AM16^4-1.6098*AM16^3+1.316*AM16^2+0.9448*AM16)*(Rendement_thT1/0.97)</f>
        <v>0</v>
      </c>
    </row>
    <row r="17" spans="1:40" s="11" customFormat="1">
      <c r="A17" s="45" t="s">
        <v>44</v>
      </c>
      <c r="B17" s="43" t="s">
        <v>93</v>
      </c>
      <c r="C17" s="43" t="s">
        <v>93</v>
      </c>
      <c r="D17" s="19">
        <v>13.89</v>
      </c>
      <c r="E17" s="20">
        <f>D17</f>
        <v>13.89</v>
      </c>
      <c r="F17" s="21">
        <f>(D17-E17)*1000</f>
        <v>0</v>
      </c>
      <c r="G17" s="43" t="s">
        <v>93</v>
      </c>
      <c r="H17" s="96">
        <v>5.41</v>
      </c>
      <c r="I17" s="20">
        <v>7.1</v>
      </c>
      <c r="J17" s="22">
        <f t="shared" ref="J17:J22" si="2">(H17)*((E17)/(H17))^Deg_reacT1</f>
        <v>8.6686158064595293</v>
      </c>
      <c r="K17" s="23">
        <f t="shared" ref="K17:K22" si="3">(J17-I17)/J17</f>
        <v>0.18095343495217028</v>
      </c>
      <c r="L17" s="43" t="s">
        <v>93</v>
      </c>
      <c r="M17" s="43" t="s">
        <v>93</v>
      </c>
      <c r="N17" s="20">
        <v>40.6</v>
      </c>
      <c r="O17" s="20">
        <v>31</v>
      </c>
      <c r="P17" s="16">
        <f t="shared" ref="P17:P22" si="4">N17-O17</f>
        <v>9.6000000000000014</v>
      </c>
      <c r="Q17" s="43" t="s">
        <v>93</v>
      </c>
      <c r="R17" s="25">
        <v>3675</v>
      </c>
      <c r="S17" s="36">
        <v>37</v>
      </c>
      <c r="T17" s="121">
        <f>[1]!hecalc(5,0,1,E17*100000,2,N17,1)</f>
        <v>1.0369852448591683</v>
      </c>
      <c r="U17" s="26">
        <f>[1]!hecalc(9,0,1,E17*100000,2,N17,1)</f>
        <v>226587.64415977657</v>
      </c>
      <c r="V17" s="26">
        <f>[1]!hecalc(9,0,1,H17*100000,2,O17,1)</f>
        <v>175543.90427236736</v>
      </c>
      <c r="W17" s="26">
        <f>[1]!hecalc(8,0,1,E17*100000,2,N17,1)</f>
        <v>15695.55148086215</v>
      </c>
      <c r="X17" s="26">
        <f>[1]!hecalc(9,0,1,H17*100000,8,W17,1)</f>
        <v>158741.62685734339</v>
      </c>
      <c r="Y17" s="26">
        <f>U17-V17</f>
        <v>51043.739887409203</v>
      </c>
      <c r="Z17" s="26">
        <f>U17-X17</f>
        <v>67846.017302433174</v>
      </c>
      <c r="AA17" s="27">
        <f>Y17/Z17</f>
        <v>0.75234688662526128</v>
      </c>
      <c r="AB17" s="28">
        <f t="shared" ref="AB17:AB22" si="5">S17*(Y17/1000)/1000</f>
        <v>1.8886183758341406</v>
      </c>
      <c r="AC17" s="29">
        <f t="shared" ref="AC17:AC22" si="6">PI()*(D_roueT1/1000)*R17</f>
        <v>230.90706003884981</v>
      </c>
      <c r="AD17" s="28">
        <f>SQRT(2*Z17)</f>
        <v>368.36399743306396</v>
      </c>
      <c r="AE17" s="28">
        <f>AC17/AD17</f>
        <v>0.6268448101549563</v>
      </c>
      <c r="AF17" s="28">
        <f t="shared" ref="AF17:AF22" si="7">LN((I17)/(H17))/LN((E17)/(H17))</f>
        <v>0.28830194795329228</v>
      </c>
      <c r="AG17" s="26">
        <f>[1]!hecalc(14,0,1,E17*100000,2,N17,1)</f>
        <v>5354.9813551270836</v>
      </c>
      <c r="AH17" s="26">
        <f>[1]!hecalc(15,0,1,E17*100000,2,N17,1)</f>
        <v>3152.819048473702</v>
      </c>
      <c r="AI17" s="22">
        <f>[1]!hecalc(3,0,1,E17*100000,2,N17,1)</f>
        <v>15.88247037295486</v>
      </c>
      <c r="AJ17" s="26" t="e">
        <f>AB17*1000/(M17*R17^3)</f>
        <v>#VALUE!</v>
      </c>
      <c r="AL17" s="16">
        <f t="shared" ref="AL17:AL35" si="8">AL16+10%</f>
        <v>0.1</v>
      </c>
      <c r="AM17" s="16">
        <f t="shared" si="0"/>
        <v>0.15952911849948948</v>
      </c>
      <c r="AN17" s="42">
        <f t="shared" si="1"/>
        <v>0.14639286310346403</v>
      </c>
    </row>
    <row r="18" spans="1:40" s="11" customFormat="1">
      <c r="A18" s="46" t="s">
        <v>96</v>
      </c>
      <c r="B18" s="30">
        <v>41940</v>
      </c>
      <c r="C18" s="43" t="s">
        <v>93</v>
      </c>
      <c r="D18" s="20">
        <v>14</v>
      </c>
      <c r="E18" s="20">
        <f>D18</f>
        <v>14</v>
      </c>
      <c r="F18" s="21">
        <f t="shared" ref="F18:F19" si="9">(D18-E18)*1000</f>
        <v>0</v>
      </c>
      <c r="G18" s="43" t="s">
        <v>93</v>
      </c>
      <c r="H18" s="120">
        <v>5.35</v>
      </c>
      <c r="I18" s="20">
        <v>8.7200000000000006</v>
      </c>
      <c r="J18" s="22">
        <f t="shared" si="2"/>
        <v>8.6544786093675228</v>
      </c>
      <c r="K18" s="23">
        <f t="shared" si="3"/>
        <v>-7.5708073923203357E-3</v>
      </c>
      <c r="L18" s="20">
        <v>14.75</v>
      </c>
      <c r="M18" s="20">
        <v>8.4</v>
      </c>
      <c r="N18" s="20">
        <v>41.54</v>
      </c>
      <c r="O18" s="19">
        <v>30.95</v>
      </c>
      <c r="P18" s="16">
        <f t="shared" si="4"/>
        <v>10.59</v>
      </c>
      <c r="Q18" s="43" t="s">
        <v>93</v>
      </c>
      <c r="R18" s="25">
        <v>3684</v>
      </c>
      <c r="S18" s="36">
        <v>40.1</v>
      </c>
      <c r="T18" s="121">
        <f>[1]!hecalc(5,0,1,E18*100000,2,N18,1)</f>
        <v>1.0370879531640635</v>
      </c>
      <c r="U18" s="26">
        <f>[1]!hecalc(9,0,1,E18*100000,2,N18,1)</f>
        <v>231623.89091768023</v>
      </c>
      <c r="V18" s="26">
        <f>[1]!hecalc(9,0,1,H18*100000,2,O18,1)</f>
        <v>175285.6415782558</v>
      </c>
      <c r="W18" s="26">
        <f>[1]!hecalc(8,0,1,E18*100000,2,N18,1)</f>
        <v>15801.190507880428</v>
      </c>
      <c r="X18" s="26">
        <f>[1]!hecalc(9,0,1,H18*100000,8,W18,1)</f>
        <v>161048.10691514533</v>
      </c>
      <c r="Y18" s="26">
        <f t="shared" ref="Y18:Y19" si="10">U18-V18</f>
        <v>56338.249339424423</v>
      </c>
      <c r="Z18" s="26">
        <f t="shared" ref="Z18:Z19" si="11">U18-X18</f>
        <v>70575.7840025349</v>
      </c>
      <c r="AA18" s="27">
        <f t="shared" ref="AA18:AA19" si="12">Y18/Z18</f>
        <v>0.7982660077485062</v>
      </c>
      <c r="AB18" s="28">
        <f t="shared" si="5"/>
        <v>2.2591637985109196</v>
      </c>
      <c r="AC18" s="29">
        <f t="shared" si="6"/>
        <v>231.47254671649597</v>
      </c>
      <c r="AD18" s="28">
        <f t="shared" ref="AD18:AD19" si="13">SQRT(2*Z18)</f>
        <v>375.70143465931801</v>
      </c>
      <c r="AE18" s="28">
        <f t="shared" ref="AE18:AE19" si="14">AC18/AD18</f>
        <v>0.61610769979197111</v>
      </c>
      <c r="AF18" s="28">
        <f t="shared" si="7"/>
        <v>0.5078405408044202</v>
      </c>
      <c r="AG18" s="26">
        <f>[1]!hecalc(14,0,1,E18*100000,2,N18,1)</f>
        <v>5348.2305058038592</v>
      </c>
      <c r="AH18" s="26">
        <f>[1]!hecalc(15,0,1,E18*100000,2,N18,1)</f>
        <v>3152.2255114187578</v>
      </c>
      <c r="AI18" s="22">
        <f>[1]!hecalc(3,0,1,E18*100000,2,N18,1)</f>
        <v>15.644452629552497</v>
      </c>
      <c r="AJ18" s="26">
        <f t="shared" ref="AJ18:AJ23" si="15">AB18*1000/(M18*R18^3)</f>
        <v>5.3790993984952418E-9</v>
      </c>
      <c r="AL18" s="16">
        <f t="shared" si="8"/>
        <v>0.2</v>
      </c>
      <c r="AM18" s="16">
        <f t="shared" si="0"/>
        <v>0.31905823699897895</v>
      </c>
      <c r="AN18" s="42">
        <f t="shared" si="1"/>
        <v>0.31803371493357541</v>
      </c>
    </row>
    <row r="19" spans="1:40" s="11" customFormat="1">
      <c r="A19" s="31" t="s">
        <v>95</v>
      </c>
      <c r="B19" s="30">
        <v>42047</v>
      </c>
      <c r="C19" s="44">
        <v>0.68958333333333333</v>
      </c>
      <c r="D19" s="43" t="s">
        <v>93</v>
      </c>
      <c r="E19" s="20">
        <v>13.64</v>
      </c>
      <c r="F19" s="21" t="e">
        <f t="shared" si="9"/>
        <v>#VALUE!</v>
      </c>
      <c r="G19" s="20">
        <v>5.27</v>
      </c>
      <c r="H19" s="120">
        <f>G19+0.03</f>
        <v>5.3</v>
      </c>
      <c r="I19" s="20">
        <v>8.11</v>
      </c>
      <c r="J19" s="22">
        <f t="shared" si="2"/>
        <v>8.5024702292921912</v>
      </c>
      <c r="K19" s="23">
        <f t="shared" si="3"/>
        <v>4.6159553483654352E-2</v>
      </c>
      <c r="L19" s="20">
        <v>12.37</v>
      </c>
      <c r="M19" s="20">
        <v>8.42</v>
      </c>
      <c r="N19" s="20">
        <v>40.46</v>
      </c>
      <c r="O19" s="19">
        <v>32.82</v>
      </c>
      <c r="P19" s="16">
        <f t="shared" si="4"/>
        <v>7.6400000000000006</v>
      </c>
      <c r="Q19" s="24">
        <v>0.64</v>
      </c>
      <c r="R19" s="25">
        <v>3514</v>
      </c>
      <c r="S19" s="37">
        <f t="shared" ref="S19:S24" si="16">Coeff_débit_réelT1*E19/SQRT(T19*N19)</f>
        <v>37.225257035406372</v>
      </c>
      <c r="T19" s="121">
        <f>[1]!hecalc(5,0,1,E19*100000,2,N19,1)</f>
        <v>1.0363296282709189</v>
      </c>
      <c r="U19" s="26">
        <f>[1]!hecalc(9,0,1,E19*100000,2,N19,1)</f>
        <v>225826.43650888288</v>
      </c>
      <c r="V19" s="26">
        <f>[1]!hecalc(9,0,1,H19*100000,2,O19,1)</f>
        <v>185209.48001511139</v>
      </c>
      <c r="W19" s="26">
        <f>[1]!hecalc(8,0,1,E19*100000,2,N19,1)</f>
        <v>15715.880885290768</v>
      </c>
      <c r="X19" s="26">
        <f>[1]!hecalc(9,0,1,H19*100000,8,W19,1)</f>
        <v>158107.07547910465</v>
      </c>
      <c r="Y19" s="26">
        <f t="shared" si="10"/>
        <v>40616.956493771489</v>
      </c>
      <c r="Z19" s="26">
        <f t="shared" si="11"/>
        <v>67719.361029778229</v>
      </c>
      <c r="AA19" s="27">
        <f t="shared" si="12"/>
        <v>0.5997835165029245</v>
      </c>
      <c r="AB19" s="28">
        <f t="shared" si="5"/>
        <v>1.5119766454765617</v>
      </c>
      <c r="AC19" s="29">
        <f t="shared" si="6"/>
        <v>220.79113169429067</v>
      </c>
      <c r="AD19" s="28">
        <f t="shared" si="13"/>
        <v>368.0200022547096</v>
      </c>
      <c r="AE19" s="28">
        <f t="shared" si="14"/>
        <v>0.59994329205367314</v>
      </c>
      <c r="AF19" s="28">
        <f t="shared" si="7"/>
        <v>0.45000647755694123</v>
      </c>
      <c r="AG19" s="26">
        <f>[1]!hecalc(14,0,1,E19*100000,2,N19,1)</f>
        <v>5353.5238961341211</v>
      </c>
      <c r="AH19" s="26">
        <f>[1]!hecalc(15,0,1,E19*100000,2,N19,1)</f>
        <v>3152.3318714767925</v>
      </c>
      <c r="AI19" s="22">
        <f>[1]!hecalc(3,0,1,E19*100000,2,N19,1)</f>
        <v>15.66047735463002</v>
      </c>
      <c r="AJ19" s="26">
        <f t="shared" si="15"/>
        <v>4.1383547809876666E-9</v>
      </c>
      <c r="AK19" s="40"/>
      <c r="AL19" s="16">
        <f t="shared" si="8"/>
        <v>0.30000000000000004</v>
      </c>
      <c r="AM19" s="16">
        <f t="shared" si="0"/>
        <v>0.47858735549846848</v>
      </c>
      <c r="AN19" s="42">
        <f t="shared" si="1"/>
        <v>0.48881053822214104</v>
      </c>
    </row>
    <row r="20" spans="1:40" s="11" customFormat="1">
      <c r="A20" s="31" t="s">
        <v>94</v>
      </c>
      <c r="B20" s="30">
        <v>42047</v>
      </c>
      <c r="C20" s="44">
        <v>0.7284722222222223</v>
      </c>
      <c r="D20" s="43" t="s">
        <v>93</v>
      </c>
      <c r="E20" s="20">
        <v>14.06</v>
      </c>
      <c r="F20" s="21" t="e">
        <f t="shared" ref="F20" si="17">(D20-E20)*1000</f>
        <v>#VALUE!</v>
      </c>
      <c r="G20" s="20">
        <v>5.41</v>
      </c>
      <c r="H20" s="120">
        <f t="shared" ref="H20:H23" si="18">G20+0.03</f>
        <v>5.44</v>
      </c>
      <c r="I20" s="20">
        <v>8.43</v>
      </c>
      <c r="J20" s="22">
        <f t="shared" si="2"/>
        <v>8.7456503474584437</v>
      </c>
      <c r="K20" s="23">
        <f t="shared" si="3"/>
        <v>3.6092267003353794E-2</v>
      </c>
      <c r="L20" s="20">
        <v>12.34</v>
      </c>
      <c r="M20" s="20">
        <v>8.33</v>
      </c>
      <c r="N20" s="20">
        <v>40.46</v>
      </c>
      <c r="O20" s="19">
        <v>32.82</v>
      </c>
      <c r="P20" s="16">
        <f t="shared" si="4"/>
        <v>7.6400000000000006</v>
      </c>
      <c r="Q20" s="24">
        <v>0.873</v>
      </c>
      <c r="R20" s="25">
        <v>3565</v>
      </c>
      <c r="S20" s="37">
        <f t="shared" si="16"/>
        <v>38.350280887523937</v>
      </c>
      <c r="T20" s="121">
        <f>[1]!hecalc(5,0,1,E20*100000,2,N20,1)</f>
        <v>1.0374761634658747</v>
      </c>
      <c r="U20" s="26">
        <f>[1]!hecalc(9,0,1,E20*100000,2,N20,1)</f>
        <v>225845.70443568274</v>
      </c>
      <c r="V20" s="26">
        <f>[1]!hecalc(9,0,1,H20*100000,2,O20,1)</f>
        <v>185197.50252500272</v>
      </c>
      <c r="W20" s="26">
        <f>[1]!hecalc(8,0,1,E20*100000,2,N20,1)</f>
        <v>15651.035751069054</v>
      </c>
      <c r="X20" s="26">
        <f>[1]!hecalc(9,0,1,H20*100000,8,W20,1)</f>
        <v>157828.47599771278</v>
      </c>
      <c r="Y20" s="26">
        <f t="shared" ref="Y20" si="19">U20-V20</f>
        <v>40648.201910680014</v>
      </c>
      <c r="Z20" s="26">
        <f t="shared" ref="Z20" si="20">U20-X20</f>
        <v>68017.228437969956</v>
      </c>
      <c r="AA20" s="27">
        <f t="shared" ref="AA20" si="21">Y20/Z20</f>
        <v>0.59761626346992625</v>
      </c>
      <c r="AB20" s="28">
        <f t="shared" si="5"/>
        <v>1.5588699608473657</v>
      </c>
      <c r="AC20" s="29">
        <f t="shared" si="6"/>
        <v>223.99555620095228</v>
      </c>
      <c r="AD20" s="28">
        <f t="shared" ref="AD20" si="22">SQRT(2*Z20)</f>
        <v>368.82849249473651</v>
      </c>
      <c r="AE20" s="28">
        <f t="shared" ref="AE20" si="23">AC20/AD20</f>
        <v>0.6073163021811524</v>
      </c>
      <c r="AF20" s="28">
        <f t="shared" si="7"/>
        <v>0.46128743636103703</v>
      </c>
      <c r="AG20" s="26">
        <f>[1]!hecalc(14,0,1,E20*100000,2,N20,1)</f>
        <v>5358.0127818832361</v>
      </c>
      <c r="AH20" s="26">
        <f>[1]!hecalc(15,0,1,E20*100000,2,N20,1)</f>
        <v>3153.3676184786077</v>
      </c>
      <c r="AI20" s="22">
        <f>[1]!hecalc(3,0,1,E20*100000,2,N20,1)</f>
        <v>16.124851862730004</v>
      </c>
      <c r="AJ20" s="26">
        <f t="shared" si="15"/>
        <v>4.1303445758462255E-9</v>
      </c>
      <c r="AK20" s="40"/>
      <c r="AL20" s="16">
        <f t="shared" si="8"/>
        <v>0.4</v>
      </c>
      <c r="AM20" s="16">
        <f t="shared" si="0"/>
        <v>0.6381164739979579</v>
      </c>
      <c r="AN20" s="42">
        <f t="shared" si="1"/>
        <v>0.63671762858661318</v>
      </c>
    </row>
    <row r="21" spans="1:40" s="11" customFormat="1">
      <c r="A21" s="31" t="s">
        <v>97</v>
      </c>
      <c r="B21" s="30">
        <v>42047</v>
      </c>
      <c r="C21" s="44">
        <v>0.79166666666666663</v>
      </c>
      <c r="D21" s="43" t="s">
        <v>93</v>
      </c>
      <c r="E21" s="20">
        <v>13.88</v>
      </c>
      <c r="F21" s="21" t="e">
        <f t="shared" ref="F21" si="24">(D21-E21)*1000</f>
        <v>#VALUE!</v>
      </c>
      <c r="G21" s="20">
        <v>5.38</v>
      </c>
      <c r="H21" s="120">
        <f t="shared" si="18"/>
        <v>5.41</v>
      </c>
      <c r="I21" s="20">
        <v>8.36</v>
      </c>
      <c r="J21" s="22">
        <f t="shared" si="2"/>
        <v>8.6654947925666654</v>
      </c>
      <c r="K21" s="23">
        <f t="shared" si="3"/>
        <v>3.5254166078170404E-2</v>
      </c>
      <c r="L21" s="20">
        <v>12.34</v>
      </c>
      <c r="M21" s="20">
        <v>8.4</v>
      </c>
      <c r="N21" s="20">
        <v>39.47</v>
      </c>
      <c r="O21" s="19">
        <v>32.18</v>
      </c>
      <c r="P21" s="16">
        <f t="shared" si="4"/>
        <v>7.2899999999999991</v>
      </c>
      <c r="Q21" s="24">
        <v>0.70499999999999996</v>
      </c>
      <c r="R21" s="25">
        <v>3526</v>
      </c>
      <c r="S21" s="37">
        <f t="shared" si="16"/>
        <v>38.337152190756633</v>
      </c>
      <c r="T21" s="121">
        <f>[1]!hecalc(5,0,1,E21*100000,2,N21,1)</f>
        <v>1.0371523860046454</v>
      </c>
      <c r="U21" s="26">
        <f>[1]!hecalc(9,0,1,E21*100000,2,N21,1)</f>
        <v>220530.48132948583</v>
      </c>
      <c r="V21" s="26">
        <f>[1]!hecalc(9,0,1,H21*100000,2,O21,1)</f>
        <v>181807.32659799367</v>
      </c>
      <c r="W21" s="26">
        <f>[1]!hecalc(8,0,1,E21*100000,2,N21,1)</f>
        <v>15545.795576429733</v>
      </c>
      <c r="X21" s="26">
        <f>[1]!hecalc(9,0,1,H21*100000,8,W21,1)</f>
        <v>154629.39581821568</v>
      </c>
      <c r="Y21" s="26">
        <f t="shared" ref="Y21" si="25">U21-V21</f>
        <v>38723.154731492163</v>
      </c>
      <c r="Z21" s="26">
        <f t="shared" ref="Z21" si="26">U21-X21</f>
        <v>65901.085511270154</v>
      </c>
      <c r="AA21" s="27">
        <f t="shared" ref="AA21" si="27">Y21/Z21</f>
        <v>0.58759509697104872</v>
      </c>
      <c r="AB21" s="28">
        <f t="shared" si="5"/>
        <v>1.484535476247433</v>
      </c>
      <c r="AC21" s="29">
        <f t="shared" si="6"/>
        <v>221.54511393115223</v>
      </c>
      <c r="AD21" s="28">
        <f t="shared" ref="AD21" si="28">SQRT(2*Z21)</f>
        <v>363.04568723859029</v>
      </c>
      <c r="AE21" s="28">
        <f t="shared" ref="AE21" si="29">AC21/AD21</f>
        <v>0.61024031332330586</v>
      </c>
      <c r="AF21" s="28">
        <f t="shared" si="7"/>
        <v>0.46190766066624228</v>
      </c>
      <c r="AG21" s="26">
        <f>[1]!hecalc(14,0,1,E21*100000,2,N21,1)</f>
        <v>5365.0702959843229</v>
      </c>
      <c r="AH21" s="26">
        <f>[1]!hecalc(15,0,1,E21*100000,2,N21,1)</f>
        <v>3153.8578326588208</v>
      </c>
      <c r="AI21" s="22">
        <f>[1]!hecalc(3,0,1,E21*100000,2,N21,1)</f>
        <v>16.322782268306149</v>
      </c>
      <c r="AJ21" s="26">
        <f t="shared" si="15"/>
        <v>4.0314787087949096E-9</v>
      </c>
      <c r="AK21" s="40"/>
      <c r="AL21" s="16">
        <f t="shared" si="8"/>
        <v>0.5</v>
      </c>
      <c r="AM21" s="16">
        <f t="shared" ref="AM21" si="30">AL21/U1C0_thT1</f>
        <v>0.79764559249744726</v>
      </c>
      <c r="AN21" s="42">
        <f t="shared" ref="AN21" si="31">(0.321*AM21^4-1.6098*AM21^3+1.316*AM21^2+0.9448*AM21)*(Rendement_thT1/0.97)</f>
        <v>0.74385559453009098</v>
      </c>
    </row>
    <row r="22" spans="1:40" s="11" customFormat="1">
      <c r="A22" s="31" t="s">
        <v>98</v>
      </c>
      <c r="B22" s="30">
        <v>42047</v>
      </c>
      <c r="C22" s="44">
        <v>0.8125</v>
      </c>
      <c r="D22" s="43" t="s">
        <v>93</v>
      </c>
      <c r="E22" s="20">
        <v>14.05</v>
      </c>
      <c r="F22" s="21" t="e">
        <f t="shared" ref="F22" si="32">(D22-E22)*1000</f>
        <v>#VALUE!</v>
      </c>
      <c r="G22" s="20">
        <v>5.45</v>
      </c>
      <c r="H22" s="120">
        <f t="shared" si="18"/>
        <v>5.48</v>
      </c>
      <c r="I22" s="20">
        <v>8.4700000000000006</v>
      </c>
      <c r="J22" s="22">
        <f t="shared" si="2"/>
        <v>8.7746224990024491</v>
      </c>
      <c r="K22" s="23">
        <f t="shared" si="3"/>
        <v>3.4716308198680879E-2</v>
      </c>
      <c r="L22" s="20">
        <v>12.35</v>
      </c>
      <c r="M22" s="20">
        <v>8.4</v>
      </c>
      <c r="N22" s="20">
        <v>39.92</v>
      </c>
      <c r="O22" s="19">
        <v>32.46</v>
      </c>
      <c r="P22" s="16">
        <f t="shared" si="4"/>
        <v>7.4600000000000009</v>
      </c>
      <c r="Q22" s="24">
        <v>0.81699999999999995</v>
      </c>
      <c r="R22" s="25">
        <v>3546</v>
      </c>
      <c r="S22" s="37">
        <f t="shared" si="16"/>
        <v>38.580017101845769</v>
      </c>
      <c r="T22" s="121">
        <f>[1]!hecalc(5,0,1,E22*100000,2,N22,1)</f>
        <v>1.0375469235953663</v>
      </c>
      <c r="U22" s="26">
        <f>[1]!hecalc(9,0,1,E22*100000,2,N22,1)</f>
        <v>222950.66727807443</v>
      </c>
      <c r="V22" s="26">
        <f>[1]!hecalc(9,0,1,H22*100000,2,O22,1)</f>
        <v>183285.55916836194</v>
      </c>
      <c r="W22" s="26">
        <f>[1]!hecalc(8,0,1,E22*100000,2,N22,1)</f>
        <v>15580.53420274314</v>
      </c>
      <c r="X22" s="26">
        <f>[1]!hecalc(9,0,1,H22*100000,8,W22,1)</f>
        <v>156311.15421651423</v>
      </c>
      <c r="Y22" s="26">
        <f t="shared" ref="Y22" si="33">U22-V22</f>
        <v>39665.108109712484</v>
      </c>
      <c r="Z22" s="26">
        <f t="shared" ref="Z22" si="34">U22-X22</f>
        <v>66639.513061560196</v>
      </c>
      <c r="AA22" s="27">
        <f t="shared" ref="AA22" si="35">Y22/Z22</f>
        <v>0.59521905679398768</v>
      </c>
      <c r="AB22" s="28">
        <f t="shared" si="5"/>
        <v>1.530280549219269</v>
      </c>
      <c r="AC22" s="29">
        <f t="shared" si="6"/>
        <v>222.80175099258815</v>
      </c>
      <c r="AD22" s="28">
        <f t="shared" ref="AD22" si="36">SQRT(2*Z22)</f>
        <v>365.07400088628663</v>
      </c>
      <c r="AE22" s="28">
        <f t="shared" ref="AE22" si="37">AC22/AD22</f>
        <v>0.61029202422438877</v>
      </c>
      <c r="AF22" s="28">
        <f t="shared" si="7"/>
        <v>0.46247202265929938</v>
      </c>
      <c r="AG22" s="26">
        <f>[1]!hecalc(14,0,1,E22*100000,2,N22,1)</f>
        <v>5362.7713677189258</v>
      </c>
      <c r="AH22" s="26">
        <f>[1]!hecalc(15,0,1,E22*100000,2,N22,1)</f>
        <v>3153.8538966697611</v>
      </c>
      <c r="AI22" s="22">
        <f>[1]!hecalc(3,0,1,E22*100000,2,N22,1)</f>
        <v>16.3302360807219</v>
      </c>
      <c r="AJ22" s="26">
        <f t="shared" si="15"/>
        <v>4.085785645396905E-9</v>
      </c>
      <c r="AK22" s="40"/>
      <c r="AL22" s="16">
        <f t="shared" si="8"/>
        <v>0.6</v>
      </c>
      <c r="AM22" s="16">
        <f t="shared" ref="AM22" si="38">AL22/U1C0_thT1</f>
        <v>0.95717471099693674</v>
      </c>
      <c r="AN22" s="42">
        <f t="shared" ref="AN22" si="39">(0.321*AM22^4-1.6098*AM22^3+1.316*AM22^2+0.9448*AM22)*(Rendement_thT1/0.97)</f>
        <v>0.79643135744131843</v>
      </c>
    </row>
    <row r="23" spans="1:40" s="11" customFormat="1">
      <c r="A23" s="31" t="s">
        <v>99</v>
      </c>
      <c r="B23" s="30">
        <v>42053</v>
      </c>
      <c r="C23" s="44">
        <v>0.7090277777777777</v>
      </c>
      <c r="D23" s="43" t="s">
        <v>93</v>
      </c>
      <c r="E23" s="20">
        <v>14.07</v>
      </c>
      <c r="F23" s="21" t="e">
        <f t="shared" ref="F23" si="40">(D23-E23)*1000</f>
        <v>#VALUE!</v>
      </c>
      <c r="G23" s="20">
        <v>5.42</v>
      </c>
      <c r="H23" s="120">
        <f t="shared" si="18"/>
        <v>5.45</v>
      </c>
      <c r="I23" s="20">
        <v>8.4700000000000006</v>
      </c>
      <c r="J23" s="22">
        <f t="shared" ref="J23" si="41">(H23)*((E23)/(H23))^Deg_reacT1</f>
        <v>8.7567973597657272</v>
      </c>
      <c r="K23" s="23">
        <f t="shared" ref="K23" si="42">(J23-I23)/J23</f>
        <v>3.2751398483132112E-2</v>
      </c>
      <c r="L23" s="20">
        <v>12.37</v>
      </c>
      <c r="M23" s="20">
        <v>8.43</v>
      </c>
      <c r="N23" s="20">
        <v>40.1</v>
      </c>
      <c r="O23" s="19">
        <v>32.46</v>
      </c>
      <c r="P23" s="16">
        <f t="shared" ref="P23" si="43">N23-O23</f>
        <v>7.6400000000000006</v>
      </c>
      <c r="Q23" s="24">
        <v>0.80600000000000005</v>
      </c>
      <c r="R23" s="25">
        <v>3567</v>
      </c>
      <c r="S23" s="37">
        <f t="shared" si="16"/>
        <v>38.547693372254017</v>
      </c>
      <c r="T23" s="121">
        <f>[1]!hecalc(5,0,1,E23*100000,2,N23,1)</f>
        <v>1.0375702088052876</v>
      </c>
      <c r="U23" s="26">
        <f>[1]!hecalc(9,0,1,E23*100000,2,N23,1)</f>
        <v>223916.66666264663</v>
      </c>
      <c r="V23" s="26">
        <f>[1]!hecalc(9,0,1,H23*100000,2,O23,1)</f>
        <v>183288.32190703828</v>
      </c>
      <c r="W23" s="26">
        <f>[1]!hecalc(8,0,1,E23*100000,2,N23,1)</f>
        <v>15601.612399937694</v>
      </c>
      <c r="X23" s="26">
        <f>[1]!hecalc(9,0,1,H23*100000,8,W23,1)</f>
        <v>156572.79143114193</v>
      </c>
      <c r="Y23" s="26">
        <f t="shared" ref="Y23" si="44">U23-V23</f>
        <v>40628.344755608356</v>
      </c>
      <c r="Z23" s="26">
        <f t="shared" ref="Z23" si="45">U23-X23</f>
        <v>67343.875231504702</v>
      </c>
      <c r="AA23" s="27">
        <f t="shared" ref="AA23" si="46">Y23/Z23</f>
        <v>0.60329680488303217</v>
      </c>
      <c r="AB23" s="28">
        <f t="shared" ref="AB23" si="47">S23*(Y23/1000)/1000</f>
        <v>1.5661289758614152</v>
      </c>
      <c r="AC23" s="29">
        <f t="shared" ref="AC23" si="48">PI()*(D_roueT1/1000)*R23</f>
        <v>224.12121990709585</v>
      </c>
      <c r="AD23" s="28">
        <f t="shared" ref="AD23" si="49">SQRT(2*Z23)</f>
        <v>366.9982976295795</v>
      </c>
      <c r="AE23" s="28">
        <f t="shared" ref="AE23" si="50">AC23/AD23</f>
        <v>0.61068735564900889</v>
      </c>
      <c r="AF23" s="28">
        <f t="shared" ref="AF23" si="51">LN((I23)/(H23))/LN((E23)/(H23))</f>
        <v>0.46488959951456854</v>
      </c>
      <c r="AG23" s="26">
        <f>[1]!hecalc(14,0,1,E23*100000,2,N23,1)</f>
        <v>5361.3449511270746</v>
      </c>
      <c r="AH23" s="26">
        <f>[1]!hecalc(15,0,1,E23*100000,2,N23,1)</f>
        <v>3153.7323039442026</v>
      </c>
      <c r="AI23" s="22">
        <f>[1]!hecalc(3,0,1,E23*100000,2,N23,1)</f>
        <v>16.279709459032226</v>
      </c>
      <c r="AJ23" s="26">
        <f t="shared" si="15"/>
        <v>4.0934606708467549E-9</v>
      </c>
      <c r="AK23" s="40"/>
      <c r="AL23" s="16">
        <f t="shared" si="8"/>
        <v>0.7</v>
      </c>
      <c r="AM23" s="16">
        <f t="shared" ref="AM23" si="52">AL23/U1C0_thT1</f>
        <v>1.1167038294964262</v>
      </c>
      <c r="AN23" s="42">
        <f t="shared" ref="AN23" si="53">(0.321*AM23^4-1.6098*AM23^3+1.316*AM23^2+0.9448*AM23)*(Rendement_thT1/0.97)</f>
        <v>0.7847581515946862</v>
      </c>
    </row>
    <row r="24" spans="1:40" s="11" customFormat="1">
      <c r="A24" s="31" t="s">
        <v>165</v>
      </c>
      <c r="B24" s="30">
        <v>42053</v>
      </c>
      <c r="C24" s="44">
        <v>0.6875</v>
      </c>
      <c r="D24" s="43" t="s">
        <v>93</v>
      </c>
      <c r="E24" s="20">
        <v>14</v>
      </c>
      <c r="F24" s="21" t="e">
        <f t="shared" ref="F24" si="54">(D24-E24)*1000</f>
        <v>#VALUE!</v>
      </c>
      <c r="G24" s="20">
        <v>5.34</v>
      </c>
      <c r="H24" s="120">
        <f t="shared" ref="H24" si="55">G24+0.03</f>
        <v>5.37</v>
      </c>
      <c r="I24" s="20">
        <v>8.33</v>
      </c>
      <c r="J24" s="22">
        <f t="shared" ref="J24" si="56">(H24)*((E24)/(H24))^Deg_reacT1</f>
        <v>8.6706401147781484</v>
      </c>
      <c r="K24" s="23">
        <f t="shared" ref="K24" si="57">(J24-I24)/J24</f>
        <v>3.9286616705214751E-2</v>
      </c>
      <c r="L24" s="20">
        <v>12.38</v>
      </c>
      <c r="M24" s="20">
        <v>8.4499999999999993</v>
      </c>
      <c r="N24" s="20">
        <v>41</v>
      </c>
      <c r="O24" s="19">
        <v>33.18</v>
      </c>
      <c r="P24" s="16">
        <f t="shared" ref="P24" si="58">N24-O24</f>
        <v>7.82</v>
      </c>
      <c r="Q24" s="24">
        <v>0.73599999999999999</v>
      </c>
      <c r="R24" s="25">
        <v>3582.2</v>
      </c>
      <c r="S24" s="37">
        <f t="shared" si="16"/>
        <v>37.939281480803075</v>
      </c>
      <c r="T24" s="121">
        <f>[1]!hecalc(5,0,1,E24*100000,2,N24,1)</f>
        <v>1.0372046952694358</v>
      </c>
      <c r="U24" s="26">
        <f>[1]!hecalc(9,0,1,E24*100000,2,N24,1)</f>
        <v>228734.6443127268</v>
      </c>
      <c r="V24" s="26">
        <f>[1]!hecalc(9,0,1,H24*100000,2,O24,1)</f>
        <v>187110.36719875131</v>
      </c>
      <c r="W24" s="26">
        <f>[1]!hecalc(8,0,1,E24*100000,2,N24,1)</f>
        <v>15731.181046621889</v>
      </c>
      <c r="X24" s="26">
        <f>[1]!hecalc(9,0,1,H24*100000,8,W24,1)</f>
        <v>159300.47503447245</v>
      </c>
      <c r="Y24" s="26">
        <f t="shared" ref="Y24" si="59">U24-V24</f>
        <v>41624.277113975491</v>
      </c>
      <c r="Z24" s="26">
        <f t="shared" ref="Z24" si="60">U24-X24</f>
        <v>69434.169278254354</v>
      </c>
      <c r="AA24" s="27">
        <f t="shared" ref="AA24" si="61">Y24/Z24</f>
        <v>0.59947829068377045</v>
      </c>
      <c r="AB24" s="28">
        <f t="shared" ref="AB24" si="62">S24*(Y24/1000)/1000</f>
        <v>1.5791951658620655</v>
      </c>
      <c r="AC24" s="29">
        <f t="shared" ref="AC24" si="63">PI()*(D_roueT1/1000)*R24</f>
        <v>225.07626407378714</v>
      </c>
      <c r="AD24" s="28">
        <f t="shared" ref="AD24" si="64">SQRT(2*Z24)</f>
        <v>372.65042406591823</v>
      </c>
      <c r="AE24" s="28">
        <f t="shared" ref="AE24" si="65">AC24/AD24</f>
        <v>0.60398767729289726</v>
      </c>
      <c r="AF24" s="28">
        <f t="shared" ref="AF24" si="66">LN((I24)/(H24))/LN((E24)/(H24))</f>
        <v>0.45817372958191332</v>
      </c>
      <c r="AG24" s="26">
        <f>[1]!hecalc(14,0,1,E24*100000,2,N24,1)</f>
        <v>5352.7121044542073</v>
      </c>
      <c r="AH24" s="26">
        <f>[1]!hecalc(15,0,1,E24*100000,2,N24,1)</f>
        <v>3152.7186534491907</v>
      </c>
      <c r="AI24" s="22">
        <f>[1]!hecalc(3,0,1,E24*100000,2,N24,1)</f>
        <v>15.848717471812684</v>
      </c>
      <c r="AJ24" s="26">
        <f t="shared" ref="AJ24" si="67">AB24*1000/(M24*R24^3)</f>
        <v>4.0656464382140027E-9</v>
      </c>
      <c r="AK24" s="40"/>
      <c r="AL24" s="16">
        <f t="shared" si="8"/>
        <v>0.79999999999999993</v>
      </c>
      <c r="AM24" s="16">
        <f t="shared" ref="AM24" si="68">AL24/U1C0_thT1</f>
        <v>1.2762329479959156</v>
      </c>
      <c r="AN24" s="42">
        <f t="shared" ref="AN24" si="69">(0.321*AM24^4-1.6098*AM24^3+1.316*AM24^2+0.9448*AM24)*(Rendement_thT1/0.97)</f>
        <v>0.7032555241502304</v>
      </c>
    </row>
    <row r="25" spans="1:40" s="11" customFormat="1">
      <c r="A25" s="31" t="s">
        <v>180</v>
      </c>
      <c r="B25" s="30">
        <v>42039</v>
      </c>
      <c r="C25" s="44">
        <v>0.65763888888888888</v>
      </c>
      <c r="D25" s="43" t="s">
        <v>93</v>
      </c>
      <c r="E25" s="20">
        <v>13.32</v>
      </c>
      <c r="F25" s="21" t="e">
        <f t="shared" ref="F25" si="70">(D25-E25)*1000</f>
        <v>#VALUE!</v>
      </c>
      <c r="G25" s="20">
        <v>5.093</v>
      </c>
      <c r="H25" s="120">
        <f t="shared" ref="H25" si="71">G25+0.03</f>
        <v>5.1230000000000002</v>
      </c>
      <c r="I25" s="20">
        <v>7.87</v>
      </c>
      <c r="J25" s="22">
        <f t="shared" ref="J25" si="72">(H25)*((E25)/(H25))^Deg_reacT1</f>
        <v>8.2606513060411899</v>
      </c>
      <c r="K25" s="23">
        <f t="shared" ref="K25" si="73">(J25-I25)/J25</f>
        <v>4.7290618084254228E-2</v>
      </c>
      <c r="L25" s="20">
        <v>12.308999999999999</v>
      </c>
      <c r="M25" s="20">
        <v>8.3699999999999992</v>
      </c>
      <c r="N25" s="20">
        <v>40.729999999999997</v>
      </c>
      <c r="O25" s="19">
        <v>33</v>
      </c>
      <c r="P25" s="16">
        <f t="shared" ref="P25" si="74">N25-O25</f>
        <v>7.7299999999999969</v>
      </c>
      <c r="Q25" s="24">
        <v>0.60970000000000002</v>
      </c>
      <c r="R25" s="25">
        <v>3509.3</v>
      </c>
      <c r="S25" s="37">
        <f t="shared" ref="S25" si="75">Coeff_débit_réelT1*E25/SQRT(T25*N25)</f>
        <v>36.247355749048744</v>
      </c>
      <c r="T25" s="121">
        <f>[1]!hecalc(5,0,1,E25*100000,2,N25,1)</f>
        <v>1.0354087766797031</v>
      </c>
      <c r="U25" s="26">
        <f>[1]!hecalc(9,0,1,E25*100000,2,N25,1)</f>
        <v>227256.21726570406</v>
      </c>
      <c r="V25" s="26">
        <f>[1]!hecalc(9,0,1,H25*100000,2,O25,1)</f>
        <v>186177.4339311799</v>
      </c>
      <c r="W25" s="26">
        <f>[1]!hecalc(8,0,1,E25*100000,2,N25,1)</f>
        <v>15802.183922185957</v>
      </c>
      <c r="X25" s="26">
        <f>[1]!hecalc(9,0,1,H25*100000,8,W25,1)</f>
        <v>158522.05588436965</v>
      </c>
      <c r="Y25" s="26">
        <f t="shared" ref="Y25" si="76">U25-V25</f>
        <v>41078.783334524167</v>
      </c>
      <c r="Z25" s="26">
        <f t="shared" ref="Z25" si="77">U25-X25</f>
        <v>68734.161381334416</v>
      </c>
      <c r="AA25" s="27">
        <f t="shared" ref="AA25" si="78">Y25/Z25</f>
        <v>0.59764726169598115</v>
      </c>
      <c r="AB25" s="28">
        <f t="shared" ref="AB25" si="79">S25*(Y25/1000)/1000</f>
        <v>1.4889972732645924</v>
      </c>
      <c r="AC25" s="29">
        <f t="shared" ref="AC25" si="80">PI()*(D_roueT1/1000)*R25</f>
        <v>220.49582198485325</v>
      </c>
      <c r="AD25" s="28">
        <f t="shared" ref="AD25" si="81">SQRT(2*Z25)</f>
        <v>370.76720831630843</v>
      </c>
      <c r="AE25" s="28">
        <f t="shared" ref="AE25" si="82">AC25/AD25</f>
        <v>0.59470151901012813</v>
      </c>
      <c r="AF25" s="28">
        <f t="shared" ref="AF25" si="83">LN((I25)/(H25))/LN((E25)/(H25))</f>
        <v>0.44929981049663992</v>
      </c>
      <c r="AG25" s="26">
        <f>[1]!hecalc(14,0,1,E25*100000,2,N25,1)</f>
        <v>5347.829764767037</v>
      </c>
      <c r="AH25" s="26">
        <f>[1]!hecalc(15,0,1,E25*100000,2,N25,1)</f>
        <v>3151.2979788934031</v>
      </c>
      <c r="AI25" s="22">
        <f>[1]!hecalc(3,0,1,E25*100000,2,N25,1)</f>
        <v>15.205208908108307</v>
      </c>
      <c r="AJ25" s="26">
        <f t="shared" ref="AJ25" si="84">AB25*1000/(M25*R25^3)</f>
        <v>4.1162993955072319E-9</v>
      </c>
      <c r="AK25" s="40"/>
      <c r="AL25" s="16">
        <f t="shared" si="8"/>
        <v>0.89999999999999991</v>
      </c>
      <c r="AM25" s="16">
        <f t="shared" ref="AM25" si="85">AL25/U1C0_thT1</f>
        <v>1.4357620664954049</v>
      </c>
      <c r="AN25" s="42">
        <f t="shared" ref="AN25" si="86">(0.321*AM25^4-1.6098*AM25^3+1.316*AM25^2+0.9448*AM25)*(Rendement_thT1/0.97)</f>
        <v>0.55044933515363215</v>
      </c>
    </row>
    <row r="26" spans="1:40" s="11" customFormat="1">
      <c r="A26" s="31" t="s">
        <v>181</v>
      </c>
      <c r="B26" s="30">
        <v>42039</v>
      </c>
      <c r="C26" s="44">
        <v>0.58333333333333337</v>
      </c>
      <c r="D26" s="43" t="s">
        <v>93</v>
      </c>
      <c r="E26" s="20">
        <v>12.7</v>
      </c>
      <c r="F26" s="21" t="e">
        <f t="shared" ref="F26" si="87">(D26-E26)*1000</f>
        <v>#VALUE!</v>
      </c>
      <c r="G26" s="20">
        <v>4.78</v>
      </c>
      <c r="H26" s="120">
        <f t="shared" ref="H26" si="88">G26+0.03</f>
        <v>4.8100000000000005</v>
      </c>
      <c r="I26" s="20">
        <v>7.33</v>
      </c>
      <c r="J26" s="22">
        <f t="shared" ref="J26" si="89">(H26)*((E26)/(H26))^Deg_reacT1</f>
        <v>7.8158172957151448</v>
      </c>
      <c r="K26" s="23">
        <f t="shared" ref="K26" si="90">(J26-I26)/J26</f>
        <v>6.21582206100805E-2</v>
      </c>
      <c r="L26" s="20">
        <v>12.419</v>
      </c>
      <c r="M26" s="20">
        <v>8.42</v>
      </c>
      <c r="N26" s="20">
        <v>42.63</v>
      </c>
      <c r="O26" s="19">
        <v>34.46</v>
      </c>
      <c r="P26" s="16">
        <f t="shared" ref="P26" si="91">N26-O26</f>
        <v>8.1700000000000017</v>
      </c>
      <c r="Q26" s="24">
        <v>0.55479999999999996</v>
      </c>
      <c r="R26" s="25">
        <v>3478</v>
      </c>
      <c r="S26" s="37">
        <f t="shared" ref="S26" si="92">Coeff_débit_réelT1*E26/SQRT(T26*N26)</f>
        <v>33.814864096566083</v>
      </c>
      <c r="T26" s="121">
        <f>[1]!hecalc(5,0,1,E26*100000,2,N26,1)</f>
        <v>1.0333496088885963</v>
      </c>
      <c r="U26" s="26">
        <f>[1]!hecalc(9,0,1,E26*100000,2,N26,1)</f>
        <v>237361.66202246892</v>
      </c>
      <c r="V26" s="26">
        <f>[1]!hecalc(9,0,1,H26*100000,2,O26,1)</f>
        <v>193915.51060413691</v>
      </c>
      <c r="W26" s="26">
        <f>[1]!hecalc(8,0,1,E26*100000,2,N26,1)</f>
        <v>16147.097770712624</v>
      </c>
      <c r="X26" s="26">
        <f>[1]!hecalc(9,0,1,H26*100000,8,W26,1)</f>
        <v>164546.67118120281</v>
      </c>
      <c r="Y26" s="26">
        <f t="shared" ref="Y26" si="93">U26-V26</f>
        <v>43446.151418332011</v>
      </c>
      <c r="Z26" s="26">
        <f t="shared" ref="Z26" si="94">U26-X26</f>
        <v>72814.990841266117</v>
      </c>
      <c r="AA26" s="27">
        <f t="shared" ref="AA26" si="95">Y26/Z26</f>
        <v>0.59666493006972909</v>
      </c>
      <c r="AB26" s="28">
        <f t="shared" ref="AB26" si="96">S26*(Y26/1000)/1000</f>
        <v>1.4691257057297287</v>
      </c>
      <c r="AC26" s="29">
        <f t="shared" ref="AC26" si="97">PI()*(D_roueT1/1000)*R26</f>
        <v>218.52918498370602</v>
      </c>
      <c r="AD26" s="28">
        <f t="shared" ref="AD26" si="98">SQRT(2*Z26)</f>
        <v>381.61496522349887</v>
      </c>
      <c r="AE26" s="28">
        <f t="shared" ref="AE26" si="99">AC26/AD26</f>
        <v>0.57264312172799858</v>
      </c>
      <c r="AF26" s="28">
        <f t="shared" ref="AF26" si="100">LN((I26)/(H26))/LN((E26)/(H26))</f>
        <v>0.43390287527156779</v>
      </c>
      <c r="AG26" s="26">
        <f>[1]!hecalc(14,0,1,E26*100000,2,N26,1)</f>
        <v>5327.1306497109836</v>
      </c>
      <c r="AH26" s="26">
        <f>[1]!hecalc(15,0,1,E26*100000,2,N26,1)</f>
        <v>3148.1846484750922</v>
      </c>
      <c r="AI26" s="22">
        <f>[1]!hecalc(3,0,1,E26*100000,2,N26,1)</f>
        <v>13.878915368242968</v>
      </c>
      <c r="AJ26" s="26">
        <f t="shared" ref="AJ26" si="101">AB26*1000/(M26*R26^3)</f>
        <v>4.1472301130978049E-9</v>
      </c>
      <c r="AK26" s="40"/>
      <c r="AL26" s="16">
        <f t="shared" si="8"/>
        <v>0.99999999999999989</v>
      </c>
      <c r="AM26" s="16">
        <f t="shared" ref="AM26" si="102">AL26/U1C0_thT1</f>
        <v>1.5952911849948945</v>
      </c>
      <c r="AN26" s="42">
        <f t="shared" ref="AN26" si="103">(0.321*AM26^4-1.6098*AM26^3+1.316*AM26^2+0.9448*AM26)*(Rendement_thT1/0.97)</f>
        <v>0.32897175753622071</v>
      </c>
    </row>
    <row r="27" spans="1:40" s="11" customFormat="1">
      <c r="A27" s="31" t="s">
        <v>183</v>
      </c>
      <c r="B27" s="30">
        <v>42046</v>
      </c>
      <c r="C27" s="44">
        <v>0.62291666666666667</v>
      </c>
      <c r="D27" s="43" t="s">
        <v>93</v>
      </c>
      <c r="E27" s="20">
        <v>6.11</v>
      </c>
      <c r="F27" s="21" t="e">
        <f t="shared" ref="F27" si="104">(D27-E27)*1000</f>
        <v>#VALUE!</v>
      </c>
      <c r="G27" s="20">
        <v>2.5459999999999998</v>
      </c>
      <c r="H27" s="120">
        <f t="shared" ref="H27" si="105">G27+0.03</f>
        <v>2.5759999999999996</v>
      </c>
      <c r="I27" s="20">
        <v>3.47</v>
      </c>
      <c r="J27" s="22">
        <f t="shared" ref="J27" si="106">(H27)*((E27)/(H27))^Deg_reacT1</f>
        <v>3.9672862261248558</v>
      </c>
      <c r="K27" s="23">
        <f t="shared" ref="K27" si="107">(J27-I27)/J27</f>
        <v>0.12534669740998047</v>
      </c>
      <c r="L27" s="20">
        <v>12.58</v>
      </c>
      <c r="M27" s="20">
        <v>5.19</v>
      </c>
      <c r="N27" s="20">
        <v>32.07</v>
      </c>
      <c r="O27" s="19">
        <v>28.91</v>
      </c>
      <c r="P27" s="16">
        <f t="shared" ref="P27" si="108">N27-O27</f>
        <v>3.16</v>
      </c>
      <c r="Q27" s="24">
        <v>0.3614</v>
      </c>
      <c r="R27" s="25">
        <v>2404</v>
      </c>
      <c r="S27" s="37">
        <f t="shared" ref="S27" si="109">Coeff_débit_réelT1*E27/SQRT(T27*N27)</f>
        <v>18.921166429136832</v>
      </c>
      <c r="T27" s="121">
        <f>[1]!hecalc(5,0,1,E27*100000,2,N27,1)</f>
        <v>1.0154489897361456</v>
      </c>
      <c r="U27" s="26">
        <f>[1]!hecalc(9,0,1,E27*100000,2,N27,1)</f>
        <v>181154.84754389327</v>
      </c>
      <c r="V27" s="26">
        <f>[1]!hecalc(9,0,1,H27*100000,2,O27,1)</f>
        <v>164920.22066326049</v>
      </c>
      <c r="W27" s="26">
        <f>[1]!hecalc(8,0,1,E27*100000,2,N27,1)</f>
        <v>16188.747195973769</v>
      </c>
      <c r="X27" s="26">
        <f>[1]!hecalc(9,0,1,H27*100000,8,W27,1)</f>
        <v>132088.16456979004</v>
      </c>
      <c r="Y27" s="26">
        <f t="shared" ref="Y27" si="110">U27-V27</f>
        <v>16234.626880632772</v>
      </c>
      <c r="Z27" s="26">
        <f t="shared" ref="Z27" si="111">U27-X27</f>
        <v>49066.682974103227</v>
      </c>
      <c r="AA27" s="27">
        <f t="shared" ref="AA27" si="112">Y27/Z27</f>
        <v>0.33086864439565239</v>
      </c>
      <c r="AB27" s="28">
        <f t="shared" ref="AB27" si="113">S27*(Y27/1000)/1000</f>
        <v>0.30717807712339118</v>
      </c>
      <c r="AC27" s="29">
        <f t="shared" ref="AC27" si="114">PI()*(D_roueT1/1000)*R27</f>
        <v>151.04777478459727</v>
      </c>
      <c r="AD27" s="28">
        <f t="shared" ref="AD27" si="115">SQRT(2*Z27)</f>
        <v>313.26245537600965</v>
      </c>
      <c r="AE27" s="28">
        <f t="shared" ref="AE27" si="116">AC27/AD27</f>
        <v>0.48217643765606788</v>
      </c>
      <c r="AF27" s="28">
        <f t="shared" ref="AF27" si="117">LN((I27)/(H27))/LN((E27)/(H27))</f>
        <v>0.34493526930366075</v>
      </c>
      <c r="AG27" s="26">
        <f>[1]!hecalc(14,0,1,E27*100000,2,N27,1)</f>
        <v>5318.0567369322398</v>
      </c>
      <c r="AH27" s="26">
        <f>[1]!hecalc(15,0,1,E27*100000,2,N27,1)</f>
        <v>3137.2977307092228</v>
      </c>
      <c r="AI27" s="22">
        <f>[1]!hecalc(3,0,1,E27*100000,2,N27,1)</f>
        <v>9.0323042263857509</v>
      </c>
      <c r="AJ27" s="26">
        <f t="shared" ref="AJ27" si="118">AB27*1000/(M27*R27^3)</f>
        <v>4.2600968211807769E-9</v>
      </c>
      <c r="AK27" s="40"/>
      <c r="AL27" s="16">
        <f t="shared" si="8"/>
        <v>1.0999999999999999</v>
      </c>
      <c r="AM27" s="16">
        <f t="shared" ref="AM27" si="119">AL27/U1C0_thT1</f>
        <v>1.7548203034943839</v>
      </c>
      <c r="AN27" s="42">
        <f t="shared" ref="AN27" si="120">(0.321*AM27^4-1.6098*AM27^3+1.316*AM27^2+0.9448*AM27)*(Rendement_thT1/0.97)</f>
        <v>4.556127711496908E-2</v>
      </c>
    </row>
    <row r="28" spans="1:40" s="11" customFormat="1">
      <c r="A28" s="31" t="s">
        <v>182</v>
      </c>
      <c r="B28" s="30">
        <v>42047</v>
      </c>
      <c r="C28" s="44">
        <v>0.76597222222222217</v>
      </c>
      <c r="D28" s="43" t="s">
        <v>93</v>
      </c>
      <c r="E28" s="20">
        <v>13.866</v>
      </c>
      <c r="F28" s="21" t="e">
        <f t="shared" ref="F28" si="121">(D28-E28)*1000</f>
        <v>#VALUE!</v>
      </c>
      <c r="G28" s="20">
        <v>5.19</v>
      </c>
      <c r="H28" s="120">
        <f t="shared" ref="H28" si="122">G28+0.03</f>
        <v>5.2200000000000006</v>
      </c>
      <c r="I28" s="20">
        <v>7.9690000000000003</v>
      </c>
      <c r="J28" s="22">
        <f t="shared" ref="J28" si="123">(H28)*((E28)/(H28))^Deg_reacT1</f>
        <v>8.5076741827599403</v>
      </c>
      <c r="K28" s="23">
        <f t="shared" ref="K28" si="124">(J28-I28)/J28</f>
        <v>6.3316268487516383E-2</v>
      </c>
      <c r="L28" s="20">
        <v>12.419</v>
      </c>
      <c r="M28" s="20">
        <v>8.48</v>
      </c>
      <c r="N28" s="20">
        <v>46.5</v>
      </c>
      <c r="O28" s="19">
        <v>36.9</v>
      </c>
      <c r="P28" s="16">
        <f t="shared" ref="P28" si="125">N28-O28</f>
        <v>9.6000000000000014</v>
      </c>
      <c r="Q28" s="24">
        <v>0.67300000000000004</v>
      </c>
      <c r="R28" s="25">
        <v>3645.8</v>
      </c>
      <c r="S28" s="37">
        <f t="shared" ref="S28" si="126">Coeff_débit_réelT1*E28/SQRT(T28*N28)</f>
        <v>35.315368064498763</v>
      </c>
      <c r="T28" s="121">
        <f>[1]!hecalc(5,0,1,E28*100000,2,N28,1)</f>
        <v>1.0353624920296265</v>
      </c>
      <c r="U28" s="26">
        <f>[1]!hecalc(9,0,1,E28*100000,2,N28,1)</f>
        <v>258047.99629784329</v>
      </c>
      <c r="V28" s="26">
        <f>[1]!hecalc(9,0,1,H28*100000,2,O28,1)</f>
        <v>206771.48027870181</v>
      </c>
      <c r="W28" s="26">
        <f>[1]!hecalc(8,0,1,E28*100000,2,N28,1)</f>
        <v>16422.842612614451</v>
      </c>
      <c r="X28" s="26">
        <f>[1]!hecalc(9,0,1,H28*100000,8,W28,1)</f>
        <v>178055.49271679221</v>
      </c>
      <c r="Y28" s="26">
        <f t="shared" ref="Y28" si="127">U28-V28</f>
        <v>51276.516019141476</v>
      </c>
      <c r="Z28" s="26">
        <f t="shared" ref="Z28" si="128">U28-X28</f>
        <v>79992.503581051074</v>
      </c>
      <c r="AA28" s="27">
        <f t="shared" ref="AA28" si="129">Y28/Z28</f>
        <v>0.64101651684381145</v>
      </c>
      <c r="AB28" s="28">
        <f t="shared" ref="AB28" si="130">S28*(Y28/1000)/1000</f>
        <v>1.810849036281148</v>
      </c>
      <c r="AC28" s="29">
        <f t="shared" ref="AC28" si="131">PI()*(D_roueT1/1000)*R28</f>
        <v>229.07236992915338</v>
      </c>
      <c r="AD28" s="28">
        <f t="shared" ref="AD28" si="132">SQRT(2*Z28)</f>
        <v>399.98125851357355</v>
      </c>
      <c r="AE28" s="28">
        <f t="shared" ref="AE28" si="133">AC28/AD28</f>
        <v>0.57270775830958021</v>
      </c>
      <c r="AF28" s="28">
        <f t="shared" ref="AF28" si="134">LN((I28)/(H28))/LN((E28)/(H28))</f>
        <v>0.43304662907063657</v>
      </c>
      <c r="AG28" s="26">
        <f>[1]!hecalc(14,0,1,E28*100000,2,N28,1)</f>
        <v>5313.0068767779367</v>
      </c>
      <c r="AH28" s="26">
        <f>[1]!hecalc(15,0,1,E28*100000,2,N28,1)</f>
        <v>3147.7827548258092</v>
      </c>
      <c r="AI28" s="22">
        <f>[1]!hecalc(3,0,1,E28*100000,2,N28,1)</f>
        <v>13.865011489805203</v>
      </c>
      <c r="AJ28" s="26">
        <f t="shared" ref="AJ28" si="135">AB28*1000/(M28*R28^3)</f>
        <v>4.4066430434046761E-9</v>
      </c>
      <c r="AK28" s="40"/>
      <c r="AL28" s="16">
        <f t="shared" si="8"/>
        <v>1.2</v>
      </c>
      <c r="AM28" s="16">
        <f t="shared" ref="AM28" si="136">AL28/U1C0_thT1</f>
        <v>1.9143494219938735</v>
      </c>
      <c r="AN28" s="42">
        <f t="shared" ref="AN28" si="137">(0.321*AM28^4-1.6098*AM28^3+1.316*AM28^2+0.9448*AM28)*(Rendement_thT1/0.97)</f>
        <v>-0.28893730740750506</v>
      </c>
    </row>
    <row r="29" spans="1:40" s="11" customFormat="1">
      <c r="A29" s="31"/>
      <c r="B29" s="30"/>
      <c r="C29" s="44"/>
      <c r="D29" s="43" t="s">
        <v>93</v>
      </c>
      <c r="E29" s="20"/>
      <c r="F29" s="21" t="e">
        <f t="shared" ref="F29:F35" si="138">(D29-E29)*1000</f>
        <v>#VALUE!</v>
      </c>
      <c r="G29" s="20"/>
      <c r="H29" s="120">
        <f t="shared" ref="H29:H35" si="139">G29+0.03</f>
        <v>0.03</v>
      </c>
      <c r="I29" s="20"/>
      <c r="J29" s="22">
        <f t="shared" ref="J29:J35" si="140">(H29)*((E29)/(H29))^Deg_reacT1</f>
        <v>0</v>
      </c>
      <c r="K29" s="23" t="e">
        <f t="shared" ref="K29:K35" si="141">(J29-I29)/J29</f>
        <v>#DIV/0!</v>
      </c>
      <c r="L29" s="20"/>
      <c r="M29" s="20"/>
      <c r="N29" s="20"/>
      <c r="O29" s="19"/>
      <c r="P29" s="16">
        <f t="shared" ref="P29:P35" si="142">N29-O29</f>
        <v>0</v>
      </c>
      <c r="Q29" s="24"/>
      <c r="R29" s="25"/>
      <c r="S29" s="37" t="e">
        <f t="shared" ref="S29:S35" si="143">Coeff_débit_réelT1*E29/SQRT(T29*N29)</f>
        <v>#VALUE!</v>
      </c>
      <c r="T29" s="121" t="str">
        <f>[1]!hecalc(5,0,1,E29*100000,2,N29,1)</f>
        <v>NUM</v>
      </c>
      <c r="U29" s="26" t="str">
        <f>[1]!hecalc(9,0,1,E29*100000,2,N29,1)</f>
        <v>NUM</v>
      </c>
      <c r="V29" s="26" t="str">
        <f>[1]!hecalc(9,0,1,H29*100000,2,O29,1)</f>
        <v>NUM</v>
      </c>
      <c r="W29" s="26" t="str">
        <f>[1]!hecalc(8,0,1,E29*100000,2,N29,1)</f>
        <v>NUM</v>
      </c>
      <c r="X29" s="26" t="e">
        <f>[1]!hecalc(9,0,1,H29*100000,8,W29,1)</f>
        <v>#VALUE!</v>
      </c>
      <c r="Y29" s="26" t="e">
        <f t="shared" ref="Y29:Y35" si="144">U29-V29</f>
        <v>#VALUE!</v>
      </c>
      <c r="Z29" s="26" t="e">
        <f t="shared" ref="Z29:Z35" si="145">U29-X29</f>
        <v>#VALUE!</v>
      </c>
      <c r="AA29" s="27" t="e">
        <f t="shared" ref="AA29:AA35" si="146">Y29/Z29</f>
        <v>#VALUE!</v>
      </c>
      <c r="AB29" s="28" t="e">
        <f t="shared" ref="AB29:AB35" si="147">S29*(Y29/1000)/1000</f>
        <v>#VALUE!</v>
      </c>
      <c r="AC29" s="29">
        <f t="shared" ref="AC29:AC35" si="148">PI()*(D_roueT1/1000)*R29</f>
        <v>0</v>
      </c>
      <c r="AD29" s="28" t="e">
        <f t="shared" ref="AD29:AD35" si="149">SQRT(2*Z29)</f>
        <v>#VALUE!</v>
      </c>
      <c r="AE29" s="28" t="e">
        <f t="shared" ref="AE29:AE35" si="150">AC29/AD29</f>
        <v>#VALUE!</v>
      </c>
      <c r="AF29" s="28" t="e">
        <f t="shared" ref="AF29:AF35" si="151">LN((I29)/(H29))/LN((E29)/(H29))</f>
        <v>#NUM!</v>
      </c>
      <c r="AG29" s="26" t="str">
        <f>[1]!hecalc(14,0,1,E29*100000,2,N29,1)</f>
        <v>NUM</v>
      </c>
      <c r="AH29" s="26" t="str">
        <f>[1]!hecalc(15,0,1,E29*100000,2,N29,1)</f>
        <v>NUM</v>
      </c>
      <c r="AI29" s="22" t="str">
        <f>[1]!hecalc(3,0,1,E29*100000,2,N29,1)</f>
        <v>NUM</v>
      </c>
      <c r="AJ29" s="26" t="e">
        <f t="shared" ref="AJ29:AJ35" si="152">AB29*1000/(M29*R29^3)</f>
        <v>#VALUE!</v>
      </c>
      <c r="AK29" s="40"/>
      <c r="AL29" s="16">
        <f t="shared" si="8"/>
        <v>1.3</v>
      </c>
      <c r="AM29" s="16">
        <f t="shared" ref="AM29:AM35" si="153">AL29/U1C0_thT1</f>
        <v>2.0738785404933631</v>
      </c>
      <c r="AN29" s="42">
        <f t="shared" ref="AN29:AN35" si="154">(0.321*AM29^4-1.6098*AM29^3+1.316*AM29^2+0.9448*AM29)*(Rendement_thT1/0.97)</f>
        <v>-0.65957288444293249</v>
      </c>
    </row>
    <row r="30" spans="1:40" s="11" customFormat="1">
      <c r="A30" s="31"/>
      <c r="B30" s="30"/>
      <c r="C30" s="44"/>
      <c r="D30" s="43" t="s">
        <v>93</v>
      </c>
      <c r="E30" s="20"/>
      <c r="F30" s="21" t="e">
        <f t="shared" si="138"/>
        <v>#VALUE!</v>
      </c>
      <c r="G30" s="20"/>
      <c r="H30" s="120">
        <f t="shared" si="139"/>
        <v>0.03</v>
      </c>
      <c r="I30" s="20"/>
      <c r="J30" s="22">
        <f t="shared" si="140"/>
        <v>0</v>
      </c>
      <c r="K30" s="23" t="e">
        <f t="shared" si="141"/>
        <v>#DIV/0!</v>
      </c>
      <c r="L30" s="20"/>
      <c r="M30" s="20"/>
      <c r="N30" s="20"/>
      <c r="O30" s="19"/>
      <c r="P30" s="16">
        <f t="shared" si="142"/>
        <v>0</v>
      </c>
      <c r="Q30" s="24"/>
      <c r="R30" s="25"/>
      <c r="S30" s="37" t="e">
        <f t="shared" si="143"/>
        <v>#VALUE!</v>
      </c>
      <c r="T30" s="121" t="str">
        <f>[1]!hecalc(5,0,1,E30*100000,2,N30,1)</f>
        <v>NUM</v>
      </c>
      <c r="U30" s="26" t="str">
        <f>[1]!hecalc(9,0,1,E30*100000,2,N30,1)</f>
        <v>NUM</v>
      </c>
      <c r="V30" s="26" t="str">
        <f>[1]!hecalc(9,0,1,H30*100000,2,O30,1)</f>
        <v>NUM</v>
      </c>
      <c r="W30" s="26" t="str">
        <f>[1]!hecalc(8,0,1,E30*100000,2,N30,1)</f>
        <v>NUM</v>
      </c>
      <c r="X30" s="26" t="e">
        <f>[1]!hecalc(9,0,1,H30*100000,8,W30,1)</f>
        <v>#VALUE!</v>
      </c>
      <c r="Y30" s="26" t="e">
        <f t="shared" si="144"/>
        <v>#VALUE!</v>
      </c>
      <c r="Z30" s="26" t="e">
        <f t="shared" si="145"/>
        <v>#VALUE!</v>
      </c>
      <c r="AA30" s="27" t="e">
        <f t="shared" si="146"/>
        <v>#VALUE!</v>
      </c>
      <c r="AB30" s="28" t="e">
        <f t="shared" si="147"/>
        <v>#VALUE!</v>
      </c>
      <c r="AC30" s="29">
        <f t="shared" si="148"/>
        <v>0</v>
      </c>
      <c r="AD30" s="28" t="e">
        <f t="shared" si="149"/>
        <v>#VALUE!</v>
      </c>
      <c r="AE30" s="28" t="e">
        <f t="shared" si="150"/>
        <v>#VALUE!</v>
      </c>
      <c r="AF30" s="28" t="e">
        <f t="shared" si="151"/>
        <v>#NUM!</v>
      </c>
      <c r="AG30" s="26" t="str">
        <f>[1]!hecalc(14,0,1,E30*100000,2,N30,1)</f>
        <v>NUM</v>
      </c>
      <c r="AH30" s="26" t="str">
        <f>[1]!hecalc(15,0,1,E30*100000,2,N30,1)</f>
        <v>NUM</v>
      </c>
      <c r="AI30" s="22" t="str">
        <f>[1]!hecalc(3,0,1,E30*100000,2,N30,1)</f>
        <v>NUM</v>
      </c>
      <c r="AJ30" s="26" t="e">
        <f t="shared" si="152"/>
        <v>#VALUE!</v>
      </c>
      <c r="AK30" s="40"/>
      <c r="AL30" s="16">
        <f t="shared" si="8"/>
        <v>1.4000000000000001</v>
      </c>
      <c r="AM30" s="16">
        <f t="shared" si="153"/>
        <v>2.2334076589928529</v>
      </c>
      <c r="AN30" s="42">
        <f t="shared" si="154"/>
        <v>-1.0472880295174054</v>
      </c>
    </row>
    <row r="31" spans="1:40" s="11" customFormat="1">
      <c r="A31" s="31"/>
      <c r="B31" s="30"/>
      <c r="C31" s="44"/>
      <c r="D31" s="43" t="s">
        <v>93</v>
      </c>
      <c r="E31" s="20"/>
      <c r="F31" s="21" t="e">
        <f t="shared" si="138"/>
        <v>#VALUE!</v>
      </c>
      <c r="G31" s="20"/>
      <c r="H31" s="120">
        <f t="shared" si="139"/>
        <v>0.03</v>
      </c>
      <c r="I31" s="20"/>
      <c r="J31" s="22">
        <f t="shared" si="140"/>
        <v>0</v>
      </c>
      <c r="K31" s="23" t="e">
        <f t="shared" si="141"/>
        <v>#DIV/0!</v>
      </c>
      <c r="L31" s="20"/>
      <c r="M31" s="20"/>
      <c r="N31" s="20"/>
      <c r="O31" s="19"/>
      <c r="P31" s="16">
        <f t="shared" si="142"/>
        <v>0</v>
      </c>
      <c r="Q31" s="24"/>
      <c r="R31" s="25"/>
      <c r="S31" s="37" t="e">
        <f t="shared" si="143"/>
        <v>#VALUE!</v>
      </c>
      <c r="T31" s="121" t="str">
        <f>[1]!hecalc(5,0,1,E31*100000,2,N31,1)</f>
        <v>NUM</v>
      </c>
      <c r="U31" s="26" t="str">
        <f>[1]!hecalc(9,0,1,E31*100000,2,N31,1)</f>
        <v>NUM</v>
      </c>
      <c r="V31" s="26" t="str">
        <f>[1]!hecalc(9,0,1,H31*100000,2,O31,1)</f>
        <v>NUM</v>
      </c>
      <c r="W31" s="26" t="str">
        <f>[1]!hecalc(8,0,1,E31*100000,2,N31,1)</f>
        <v>NUM</v>
      </c>
      <c r="X31" s="26" t="e">
        <f>[1]!hecalc(9,0,1,H31*100000,8,W31,1)</f>
        <v>#VALUE!</v>
      </c>
      <c r="Y31" s="26" t="e">
        <f t="shared" si="144"/>
        <v>#VALUE!</v>
      </c>
      <c r="Z31" s="26" t="e">
        <f t="shared" si="145"/>
        <v>#VALUE!</v>
      </c>
      <c r="AA31" s="27" t="e">
        <f t="shared" si="146"/>
        <v>#VALUE!</v>
      </c>
      <c r="AB31" s="28" t="e">
        <f t="shared" si="147"/>
        <v>#VALUE!</v>
      </c>
      <c r="AC31" s="29">
        <f t="shared" si="148"/>
        <v>0</v>
      </c>
      <c r="AD31" s="28" t="e">
        <f t="shared" si="149"/>
        <v>#VALUE!</v>
      </c>
      <c r="AE31" s="28" t="e">
        <f t="shared" si="150"/>
        <v>#VALUE!</v>
      </c>
      <c r="AF31" s="28" t="e">
        <f t="shared" si="151"/>
        <v>#NUM!</v>
      </c>
      <c r="AG31" s="26" t="str">
        <f>[1]!hecalc(14,0,1,E31*100000,2,N31,1)</f>
        <v>NUM</v>
      </c>
      <c r="AH31" s="26" t="str">
        <f>[1]!hecalc(15,0,1,E31*100000,2,N31,1)</f>
        <v>NUM</v>
      </c>
      <c r="AI31" s="22" t="str">
        <f>[1]!hecalc(3,0,1,E31*100000,2,N31,1)</f>
        <v>NUM</v>
      </c>
      <c r="AJ31" s="26" t="e">
        <f t="shared" si="152"/>
        <v>#VALUE!</v>
      </c>
      <c r="AK31" s="40"/>
      <c r="AL31" s="16">
        <f t="shared" si="8"/>
        <v>1.5000000000000002</v>
      </c>
      <c r="AM31" s="16">
        <f t="shared" si="153"/>
        <v>2.3929367774923422</v>
      </c>
      <c r="AN31" s="42">
        <f t="shared" si="154"/>
        <v>-1.4289190052713643</v>
      </c>
    </row>
    <row r="32" spans="1:40" s="11" customFormat="1">
      <c r="A32" s="31"/>
      <c r="B32" s="30"/>
      <c r="C32" s="44"/>
      <c r="D32" s="43" t="s">
        <v>93</v>
      </c>
      <c r="E32" s="20"/>
      <c r="F32" s="21" t="e">
        <f t="shared" si="138"/>
        <v>#VALUE!</v>
      </c>
      <c r="G32" s="20"/>
      <c r="H32" s="120">
        <f t="shared" si="139"/>
        <v>0.03</v>
      </c>
      <c r="I32" s="20"/>
      <c r="J32" s="22">
        <f t="shared" si="140"/>
        <v>0</v>
      </c>
      <c r="K32" s="23" t="e">
        <f t="shared" si="141"/>
        <v>#DIV/0!</v>
      </c>
      <c r="L32" s="20"/>
      <c r="M32" s="20"/>
      <c r="N32" s="20"/>
      <c r="O32" s="19"/>
      <c r="P32" s="16">
        <f t="shared" si="142"/>
        <v>0</v>
      </c>
      <c r="Q32" s="24"/>
      <c r="R32" s="25"/>
      <c r="S32" s="37" t="e">
        <f t="shared" si="143"/>
        <v>#VALUE!</v>
      </c>
      <c r="T32" s="121" t="str">
        <f>[1]!hecalc(5,0,1,E32*100000,2,N32,1)</f>
        <v>NUM</v>
      </c>
      <c r="U32" s="26" t="str">
        <f>[1]!hecalc(9,0,1,E32*100000,2,N32,1)</f>
        <v>NUM</v>
      </c>
      <c r="V32" s="26" t="str">
        <f>[1]!hecalc(9,0,1,H32*100000,2,O32,1)</f>
        <v>NUM</v>
      </c>
      <c r="W32" s="26" t="str">
        <f>[1]!hecalc(8,0,1,E32*100000,2,N32,1)</f>
        <v>NUM</v>
      </c>
      <c r="X32" s="26" t="e">
        <f>[1]!hecalc(9,0,1,H32*100000,8,W32,1)</f>
        <v>#VALUE!</v>
      </c>
      <c r="Y32" s="26" t="e">
        <f t="shared" si="144"/>
        <v>#VALUE!</v>
      </c>
      <c r="Z32" s="26" t="e">
        <f t="shared" si="145"/>
        <v>#VALUE!</v>
      </c>
      <c r="AA32" s="27" t="e">
        <f t="shared" si="146"/>
        <v>#VALUE!</v>
      </c>
      <c r="AB32" s="28" t="e">
        <f t="shared" si="147"/>
        <v>#VALUE!</v>
      </c>
      <c r="AC32" s="29">
        <f t="shared" si="148"/>
        <v>0</v>
      </c>
      <c r="AD32" s="28" t="e">
        <f t="shared" si="149"/>
        <v>#VALUE!</v>
      </c>
      <c r="AE32" s="28" t="e">
        <f t="shared" si="150"/>
        <v>#VALUE!</v>
      </c>
      <c r="AF32" s="28" t="e">
        <f t="shared" si="151"/>
        <v>#NUM!</v>
      </c>
      <c r="AG32" s="26" t="str">
        <f>[1]!hecalc(14,0,1,E32*100000,2,N32,1)</f>
        <v>NUM</v>
      </c>
      <c r="AH32" s="26" t="str">
        <f>[1]!hecalc(15,0,1,E32*100000,2,N32,1)</f>
        <v>NUM</v>
      </c>
      <c r="AI32" s="22" t="str">
        <f>[1]!hecalc(3,0,1,E32*100000,2,N32,1)</f>
        <v>NUM</v>
      </c>
      <c r="AJ32" s="26" t="e">
        <f t="shared" si="152"/>
        <v>#VALUE!</v>
      </c>
      <c r="AK32" s="40"/>
      <c r="AL32" s="16">
        <f t="shared" si="8"/>
        <v>1.6000000000000003</v>
      </c>
      <c r="AM32" s="16">
        <f t="shared" si="153"/>
        <v>2.552465895991832</v>
      </c>
      <c r="AN32" s="42">
        <f t="shared" si="154"/>
        <v>-1.7771957614596063</v>
      </c>
    </row>
    <row r="33" spans="1:40" s="11" customFormat="1">
      <c r="A33" s="31"/>
      <c r="B33" s="30"/>
      <c r="C33" s="44"/>
      <c r="D33" s="43" t="s">
        <v>93</v>
      </c>
      <c r="E33" s="20"/>
      <c r="F33" s="21" t="e">
        <f t="shared" si="138"/>
        <v>#VALUE!</v>
      </c>
      <c r="G33" s="20"/>
      <c r="H33" s="120">
        <f t="shared" si="139"/>
        <v>0.03</v>
      </c>
      <c r="I33" s="20"/>
      <c r="J33" s="22">
        <f t="shared" si="140"/>
        <v>0</v>
      </c>
      <c r="K33" s="23" t="e">
        <f t="shared" si="141"/>
        <v>#DIV/0!</v>
      </c>
      <c r="L33" s="20"/>
      <c r="M33" s="20"/>
      <c r="N33" s="20"/>
      <c r="O33" s="19"/>
      <c r="P33" s="16">
        <f t="shared" si="142"/>
        <v>0</v>
      </c>
      <c r="Q33" s="24"/>
      <c r="R33" s="25"/>
      <c r="S33" s="37" t="e">
        <f t="shared" si="143"/>
        <v>#VALUE!</v>
      </c>
      <c r="T33" s="121" t="str">
        <f>[1]!hecalc(5,0,1,E33*100000,2,N33,1)</f>
        <v>NUM</v>
      </c>
      <c r="U33" s="26" t="str">
        <f>[1]!hecalc(9,0,1,E33*100000,2,N33,1)</f>
        <v>NUM</v>
      </c>
      <c r="V33" s="26" t="str">
        <f>[1]!hecalc(9,0,1,H33*100000,2,O33,1)</f>
        <v>NUM</v>
      </c>
      <c r="W33" s="26" t="str">
        <f>[1]!hecalc(8,0,1,E33*100000,2,N33,1)</f>
        <v>NUM</v>
      </c>
      <c r="X33" s="26" t="e">
        <f>[1]!hecalc(9,0,1,H33*100000,8,W33,1)</f>
        <v>#VALUE!</v>
      </c>
      <c r="Y33" s="26" t="e">
        <f t="shared" si="144"/>
        <v>#VALUE!</v>
      </c>
      <c r="Z33" s="26" t="e">
        <f t="shared" si="145"/>
        <v>#VALUE!</v>
      </c>
      <c r="AA33" s="27" t="e">
        <f t="shared" si="146"/>
        <v>#VALUE!</v>
      </c>
      <c r="AB33" s="28" t="e">
        <f t="shared" si="147"/>
        <v>#VALUE!</v>
      </c>
      <c r="AC33" s="29">
        <f t="shared" si="148"/>
        <v>0</v>
      </c>
      <c r="AD33" s="28" t="e">
        <f t="shared" si="149"/>
        <v>#VALUE!</v>
      </c>
      <c r="AE33" s="28" t="e">
        <f t="shared" si="150"/>
        <v>#VALUE!</v>
      </c>
      <c r="AF33" s="28" t="e">
        <f t="shared" si="151"/>
        <v>#NUM!</v>
      </c>
      <c r="AG33" s="26" t="str">
        <f>[1]!hecalc(14,0,1,E33*100000,2,N33,1)</f>
        <v>NUM</v>
      </c>
      <c r="AH33" s="26" t="str">
        <f>[1]!hecalc(15,0,1,E33*100000,2,N33,1)</f>
        <v>NUM</v>
      </c>
      <c r="AI33" s="22" t="str">
        <f>[1]!hecalc(3,0,1,E33*100000,2,N33,1)</f>
        <v>NUM</v>
      </c>
      <c r="AJ33" s="26" t="e">
        <f t="shared" si="152"/>
        <v>#VALUE!</v>
      </c>
      <c r="AK33" s="40"/>
      <c r="AL33" s="16">
        <f t="shared" si="8"/>
        <v>1.7000000000000004</v>
      </c>
      <c r="AM33" s="16">
        <f t="shared" si="153"/>
        <v>2.7119950144913214</v>
      </c>
      <c r="AN33" s="42">
        <f t="shared" si="154"/>
        <v>-2.0607419349512885</v>
      </c>
    </row>
    <row r="34" spans="1:40" s="11" customFormat="1">
      <c r="A34" s="31"/>
      <c r="B34" s="30"/>
      <c r="C34" s="44"/>
      <c r="D34" s="43" t="s">
        <v>93</v>
      </c>
      <c r="E34" s="20"/>
      <c r="F34" s="21" t="e">
        <f t="shared" si="138"/>
        <v>#VALUE!</v>
      </c>
      <c r="G34" s="20"/>
      <c r="H34" s="120">
        <f t="shared" si="139"/>
        <v>0.03</v>
      </c>
      <c r="I34" s="20"/>
      <c r="J34" s="22">
        <f t="shared" si="140"/>
        <v>0</v>
      </c>
      <c r="K34" s="23" t="e">
        <f t="shared" si="141"/>
        <v>#DIV/0!</v>
      </c>
      <c r="L34" s="20"/>
      <c r="M34" s="20"/>
      <c r="N34" s="20"/>
      <c r="O34" s="19"/>
      <c r="P34" s="16">
        <f t="shared" si="142"/>
        <v>0</v>
      </c>
      <c r="Q34" s="24"/>
      <c r="R34" s="25"/>
      <c r="S34" s="37" t="e">
        <f t="shared" si="143"/>
        <v>#VALUE!</v>
      </c>
      <c r="T34" s="121" t="str">
        <f>[1]!hecalc(5,0,1,E34*100000,2,N34,1)</f>
        <v>NUM</v>
      </c>
      <c r="U34" s="26" t="str">
        <f>[1]!hecalc(9,0,1,E34*100000,2,N34,1)</f>
        <v>NUM</v>
      </c>
      <c r="V34" s="26" t="str">
        <f>[1]!hecalc(9,0,1,H34*100000,2,O34,1)</f>
        <v>NUM</v>
      </c>
      <c r="W34" s="26" t="str">
        <f>[1]!hecalc(8,0,1,E34*100000,2,N34,1)</f>
        <v>NUM</v>
      </c>
      <c r="X34" s="26" t="e">
        <f>[1]!hecalc(9,0,1,H34*100000,8,W34,1)</f>
        <v>#VALUE!</v>
      </c>
      <c r="Y34" s="26" t="e">
        <f t="shared" si="144"/>
        <v>#VALUE!</v>
      </c>
      <c r="Z34" s="26" t="e">
        <f t="shared" si="145"/>
        <v>#VALUE!</v>
      </c>
      <c r="AA34" s="27" t="e">
        <f t="shared" si="146"/>
        <v>#VALUE!</v>
      </c>
      <c r="AB34" s="28" t="e">
        <f t="shared" si="147"/>
        <v>#VALUE!</v>
      </c>
      <c r="AC34" s="29">
        <f t="shared" si="148"/>
        <v>0</v>
      </c>
      <c r="AD34" s="28" t="e">
        <f t="shared" si="149"/>
        <v>#VALUE!</v>
      </c>
      <c r="AE34" s="28" t="e">
        <f t="shared" si="150"/>
        <v>#VALUE!</v>
      </c>
      <c r="AF34" s="28" t="e">
        <f t="shared" si="151"/>
        <v>#NUM!</v>
      </c>
      <c r="AG34" s="26" t="str">
        <f>[1]!hecalc(14,0,1,E34*100000,2,N34,1)</f>
        <v>NUM</v>
      </c>
      <c r="AH34" s="26" t="str">
        <f>[1]!hecalc(15,0,1,E34*100000,2,N34,1)</f>
        <v>NUM</v>
      </c>
      <c r="AI34" s="22" t="str">
        <f>[1]!hecalc(3,0,1,E34*100000,2,N34,1)</f>
        <v>NUM</v>
      </c>
      <c r="AJ34" s="26" t="e">
        <f t="shared" si="152"/>
        <v>#VALUE!</v>
      </c>
      <c r="AK34" s="40"/>
      <c r="AL34" s="16">
        <f t="shared" si="8"/>
        <v>1.8000000000000005</v>
      </c>
      <c r="AM34" s="16">
        <f t="shared" si="153"/>
        <v>2.8715241329908112</v>
      </c>
      <c r="AN34" s="42">
        <f t="shared" si="154"/>
        <v>-2.2440748497299032</v>
      </c>
    </row>
    <row r="35" spans="1:40" s="11" customFormat="1">
      <c r="A35" s="31"/>
      <c r="B35" s="30"/>
      <c r="C35" s="44"/>
      <c r="D35" s="43" t="s">
        <v>93</v>
      </c>
      <c r="E35" s="20"/>
      <c r="F35" s="21" t="e">
        <f t="shared" si="138"/>
        <v>#VALUE!</v>
      </c>
      <c r="G35" s="20"/>
      <c r="H35" s="120">
        <f t="shared" si="139"/>
        <v>0.03</v>
      </c>
      <c r="I35" s="20"/>
      <c r="J35" s="22">
        <f t="shared" si="140"/>
        <v>0</v>
      </c>
      <c r="K35" s="23" t="e">
        <f t="shared" si="141"/>
        <v>#DIV/0!</v>
      </c>
      <c r="L35" s="20"/>
      <c r="M35" s="20"/>
      <c r="N35" s="20"/>
      <c r="O35" s="19"/>
      <c r="P35" s="16">
        <f t="shared" si="142"/>
        <v>0</v>
      </c>
      <c r="Q35" s="24"/>
      <c r="R35" s="25"/>
      <c r="S35" s="37" t="e">
        <f t="shared" si="143"/>
        <v>#VALUE!</v>
      </c>
      <c r="T35" s="121" t="str">
        <f>[1]!hecalc(5,0,1,E35*100000,2,N35,1)</f>
        <v>NUM</v>
      </c>
      <c r="U35" s="26" t="str">
        <f>[1]!hecalc(9,0,1,E35*100000,2,N35,1)</f>
        <v>NUM</v>
      </c>
      <c r="V35" s="26" t="str">
        <f>[1]!hecalc(9,0,1,H35*100000,2,O35,1)</f>
        <v>NUM</v>
      </c>
      <c r="W35" s="26" t="str">
        <f>[1]!hecalc(8,0,1,E35*100000,2,N35,1)</f>
        <v>NUM</v>
      </c>
      <c r="X35" s="26" t="e">
        <f>[1]!hecalc(9,0,1,H35*100000,8,W35,1)</f>
        <v>#VALUE!</v>
      </c>
      <c r="Y35" s="26" t="e">
        <f t="shared" si="144"/>
        <v>#VALUE!</v>
      </c>
      <c r="Z35" s="26" t="e">
        <f t="shared" si="145"/>
        <v>#VALUE!</v>
      </c>
      <c r="AA35" s="27" t="e">
        <f t="shared" si="146"/>
        <v>#VALUE!</v>
      </c>
      <c r="AB35" s="28" t="e">
        <f t="shared" si="147"/>
        <v>#VALUE!</v>
      </c>
      <c r="AC35" s="29">
        <f t="shared" si="148"/>
        <v>0</v>
      </c>
      <c r="AD35" s="28" t="e">
        <f t="shared" si="149"/>
        <v>#VALUE!</v>
      </c>
      <c r="AE35" s="28" t="e">
        <f t="shared" si="150"/>
        <v>#VALUE!</v>
      </c>
      <c r="AF35" s="28" t="e">
        <f t="shared" si="151"/>
        <v>#NUM!</v>
      </c>
      <c r="AG35" s="26" t="str">
        <f>[1]!hecalc(14,0,1,E35*100000,2,N35,1)</f>
        <v>NUM</v>
      </c>
      <c r="AH35" s="26" t="str">
        <f>[1]!hecalc(15,0,1,E35*100000,2,N35,1)</f>
        <v>NUM</v>
      </c>
      <c r="AI35" s="22" t="str">
        <f>[1]!hecalc(3,0,1,E35*100000,2,N35,1)</f>
        <v>NUM</v>
      </c>
      <c r="AJ35" s="26" t="e">
        <f t="shared" si="152"/>
        <v>#VALUE!</v>
      </c>
      <c r="AK35" s="40"/>
      <c r="AL35" s="16">
        <f t="shared" si="8"/>
        <v>1.9000000000000006</v>
      </c>
      <c r="AM35" s="16">
        <f t="shared" si="153"/>
        <v>3.0310532514903006</v>
      </c>
      <c r="AN35" s="42">
        <f t="shared" si="154"/>
        <v>-2.2876055168933158</v>
      </c>
    </row>
  </sheetData>
  <mergeCells count="1">
    <mergeCell ref="A5:C5"/>
  </mergeCells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L35"/>
  <sheetViews>
    <sheetView topLeftCell="I9" zoomScale="85" zoomScaleNormal="85" workbookViewId="0">
      <selection activeCell="T28" sqref="T28"/>
    </sheetView>
  </sheetViews>
  <sheetFormatPr baseColWidth="10" defaultRowHeight="12.75"/>
  <cols>
    <col min="1" max="1" width="18.42578125" style="85" customWidth="1"/>
    <col min="2" max="2" width="10.28515625" style="85" bestFit="1" customWidth="1"/>
    <col min="3" max="3" width="8.140625" style="85" customWidth="1"/>
    <col min="4" max="4" width="11.42578125" style="85" customWidth="1"/>
    <col min="5" max="5" width="11.42578125" style="85"/>
    <col min="6" max="6" width="11.42578125" style="85" customWidth="1"/>
    <col min="7" max="16" width="11.42578125" style="85"/>
    <col min="17" max="18" width="11.42578125" style="85" customWidth="1"/>
    <col min="19" max="21" width="11.42578125" style="85"/>
    <col min="22" max="24" width="11.42578125" style="85" customWidth="1"/>
    <col min="25" max="25" width="11.85546875" style="85" bestFit="1" customWidth="1"/>
    <col min="26" max="37" width="11.42578125" style="85"/>
    <col min="38" max="38" width="13" style="85" bestFit="1" customWidth="1"/>
    <col min="39" max="16384" width="11.42578125" style="85"/>
  </cols>
  <sheetData>
    <row r="1" spans="1:38" s="50" customFormat="1">
      <c r="A1" s="47" t="s">
        <v>51</v>
      </c>
      <c r="B1" s="48" t="s">
        <v>52</v>
      </c>
      <c r="C1" s="49"/>
    </row>
    <row r="2" spans="1:38" s="50" customFormat="1">
      <c r="A2" s="47" t="s">
        <v>53</v>
      </c>
      <c r="B2" s="51" t="s">
        <v>54</v>
      </c>
      <c r="C2" s="52"/>
    </row>
    <row r="3" spans="1:38" s="50" customFormat="1">
      <c r="A3" s="53" t="s">
        <v>55</v>
      </c>
      <c r="B3" s="48" t="s">
        <v>100</v>
      </c>
      <c r="C3" s="49"/>
    </row>
    <row r="4" spans="1:38" s="50" customFormat="1"/>
    <row r="5" spans="1:38" s="50" customFormat="1">
      <c r="A5" s="126" t="s">
        <v>57</v>
      </c>
      <c r="B5" s="126"/>
      <c r="C5" s="126"/>
      <c r="D5" s="54"/>
    </row>
    <row r="6" spans="1:38" s="50" customFormat="1">
      <c r="A6" s="53" t="s">
        <v>58</v>
      </c>
      <c r="B6" s="48">
        <v>20</v>
      </c>
      <c r="C6" s="53" t="s">
        <v>59</v>
      </c>
    </row>
    <row r="7" spans="1:38" s="50" customFormat="1">
      <c r="A7" s="53" t="s">
        <v>48</v>
      </c>
      <c r="B7" s="48">
        <v>0.5</v>
      </c>
      <c r="C7" s="47"/>
    </row>
    <row r="8" spans="1:38" s="50" customFormat="1">
      <c r="A8" s="53" t="s">
        <v>75</v>
      </c>
      <c r="B8" s="55">
        <f>$Q$17*SQRT($M$17*$R$17)/$E$17</f>
        <v>26.52889926394786</v>
      </c>
      <c r="C8" s="47"/>
    </row>
    <row r="9" spans="1:38" s="50" customFormat="1">
      <c r="A9" s="53" t="s">
        <v>76</v>
      </c>
      <c r="B9" s="55">
        <f>Q18*SQRT($M$18*$R$18)/$E$18</f>
        <v>27.356254238493797</v>
      </c>
      <c r="C9" s="47"/>
    </row>
    <row r="10" spans="1:38" s="50" customFormat="1" ht="25.5">
      <c r="A10" s="56" t="s">
        <v>86</v>
      </c>
      <c r="B10" s="34">
        <v>0.03</v>
      </c>
      <c r="C10" s="47"/>
    </row>
    <row r="11" spans="1:38" s="50" customFormat="1">
      <c r="A11" s="53" t="s">
        <v>87</v>
      </c>
      <c r="B11" s="57">
        <f>B9*(1-B10)</f>
        <v>26.535566611338982</v>
      </c>
      <c r="C11" s="47"/>
    </row>
    <row r="12" spans="1:38" s="50" customFormat="1">
      <c r="A12" s="58"/>
      <c r="B12" s="59"/>
    </row>
    <row r="13" spans="1:38" s="50" customFormat="1">
      <c r="A13" s="111" t="s">
        <v>141</v>
      </c>
      <c r="B13" s="39"/>
      <c r="C13" s="11"/>
      <c r="D13" s="11"/>
      <c r="E13" s="111" t="s">
        <v>143</v>
      </c>
      <c r="G13" s="111" t="s">
        <v>144</v>
      </c>
      <c r="H13" s="111" t="s">
        <v>155</v>
      </c>
      <c r="K13" s="111" t="s">
        <v>151</v>
      </c>
      <c r="L13" s="111" t="s">
        <v>156</v>
      </c>
      <c r="M13" s="111" t="s">
        <v>158</v>
      </c>
      <c r="N13" s="111" t="s">
        <v>157</v>
      </c>
      <c r="P13" s="111" t="s">
        <v>149</v>
      </c>
    </row>
    <row r="14" spans="1:38" s="50" customFormat="1">
      <c r="A14" s="11"/>
      <c r="B14" s="11"/>
      <c r="C14" s="11"/>
      <c r="D14" s="11"/>
      <c r="E14" s="11" t="str">
        <f>"= Pin T2"</f>
        <v>= Pin T2</v>
      </c>
    </row>
    <row r="15" spans="1:38" s="62" customFormat="1" ht="25.5">
      <c r="A15" s="60"/>
      <c r="B15" s="61" t="s">
        <v>60</v>
      </c>
      <c r="C15" s="61" t="s">
        <v>61</v>
      </c>
      <c r="D15" s="61" t="s">
        <v>50</v>
      </c>
      <c r="E15" s="61" t="s">
        <v>49</v>
      </c>
      <c r="F15" s="61" t="s">
        <v>72</v>
      </c>
      <c r="G15" s="61" t="s">
        <v>36</v>
      </c>
      <c r="H15" s="61" t="s">
        <v>74</v>
      </c>
      <c r="I15" s="61" t="s">
        <v>83</v>
      </c>
      <c r="J15" s="61" t="s">
        <v>84</v>
      </c>
      <c r="K15" s="61" t="s">
        <v>88</v>
      </c>
      <c r="L15" s="61" t="s">
        <v>89</v>
      </c>
      <c r="M15" s="61" t="s">
        <v>37</v>
      </c>
      <c r="N15" s="61" t="s">
        <v>38</v>
      </c>
      <c r="O15" s="61" t="s">
        <v>77</v>
      </c>
      <c r="P15" s="61" t="s">
        <v>71</v>
      </c>
      <c r="Q15" s="61" t="s">
        <v>85</v>
      </c>
      <c r="R15" s="61" t="s">
        <v>103</v>
      </c>
      <c r="S15" s="61" t="s">
        <v>62</v>
      </c>
      <c r="T15" s="61" t="s">
        <v>64</v>
      </c>
      <c r="U15" s="61" t="s">
        <v>66</v>
      </c>
      <c r="V15" s="61" t="s">
        <v>65</v>
      </c>
      <c r="W15" s="61" t="s">
        <v>68</v>
      </c>
      <c r="X15" s="61" t="s">
        <v>69</v>
      </c>
      <c r="Y15" s="61" t="s">
        <v>70</v>
      </c>
      <c r="Z15" s="61" t="s">
        <v>82</v>
      </c>
      <c r="AA15" s="61" t="s">
        <v>79</v>
      </c>
      <c r="AB15" s="61" t="s">
        <v>80</v>
      </c>
      <c r="AC15" s="61" t="s">
        <v>35</v>
      </c>
      <c r="AD15" s="61" t="s">
        <v>45</v>
      </c>
      <c r="AE15" s="61" t="s">
        <v>46</v>
      </c>
      <c r="AF15" s="61" t="s">
        <v>47</v>
      </c>
      <c r="AG15" s="61" t="s">
        <v>91</v>
      </c>
      <c r="AH15" s="6" t="s">
        <v>139</v>
      </c>
      <c r="AJ15" s="63" t="s">
        <v>35</v>
      </c>
      <c r="AK15" s="64"/>
      <c r="AL15" s="63" t="s">
        <v>90</v>
      </c>
    </row>
    <row r="16" spans="1:38" s="66" customFormat="1">
      <c r="A16" s="65"/>
      <c r="B16" s="65"/>
      <c r="C16" s="65"/>
      <c r="D16" s="65" t="s">
        <v>43</v>
      </c>
      <c r="E16" s="65" t="s">
        <v>43</v>
      </c>
      <c r="F16" s="65" t="s">
        <v>78</v>
      </c>
      <c r="G16" s="65" t="s">
        <v>43</v>
      </c>
      <c r="H16" s="65" t="s">
        <v>43</v>
      </c>
      <c r="I16" s="65" t="s">
        <v>43</v>
      </c>
      <c r="J16" s="65"/>
      <c r="K16" s="65" t="s">
        <v>43</v>
      </c>
      <c r="L16" s="65" t="s">
        <v>43</v>
      </c>
      <c r="M16" s="65" t="s">
        <v>42</v>
      </c>
      <c r="N16" s="65" t="s">
        <v>42</v>
      </c>
      <c r="O16" s="65" t="s">
        <v>42</v>
      </c>
      <c r="P16" s="65" t="s">
        <v>34</v>
      </c>
      <c r="Q16" s="65" t="s">
        <v>40</v>
      </c>
      <c r="R16" s="65"/>
      <c r="S16" s="65" t="s">
        <v>63</v>
      </c>
      <c r="T16" s="65" t="s">
        <v>63</v>
      </c>
      <c r="U16" s="65" t="s">
        <v>67</v>
      </c>
      <c r="V16" s="65" t="s">
        <v>63</v>
      </c>
      <c r="W16" s="65" t="s">
        <v>63</v>
      </c>
      <c r="X16" s="65" t="s">
        <v>63</v>
      </c>
      <c r="Y16" s="65" t="s">
        <v>39</v>
      </c>
      <c r="Z16" s="65" t="s">
        <v>41</v>
      </c>
      <c r="AA16" s="65" t="s">
        <v>81</v>
      </c>
      <c r="AB16" s="65" t="s">
        <v>81</v>
      </c>
      <c r="AC16" s="65"/>
      <c r="AD16" s="65"/>
      <c r="AE16" s="65" t="s">
        <v>67</v>
      </c>
      <c r="AF16" s="65" t="s">
        <v>67</v>
      </c>
      <c r="AG16" s="65" t="s">
        <v>92</v>
      </c>
      <c r="AH16" s="17"/>
      <c r="AJ16" s="55">
        <v>0</v>
      </c>
      <c r="AK16" s="55">
        <f t="shared" ref="AK16:AK27" si="0">AJ16/U1C0_thT2</f>
        <v>0</v>
      </c>
      <c r="AL16" s="42">
        <f t="shared" ref="AL16:AL27" si="1">(0.321*AK16^4-1.6098*AK16^3+1.316*AK16^2+0.9448*AK16)*(Rendement_thT2/0.97)</f>
        <v>0</v>
      </c>
    </row>
    <row r="17" spans="1:38" s="50" customFormat="1">
      <c r="A17" s="67" t="s">
        <v>44</v>
      </c>
      <c r="B17" s="68" t="s">
        <v>93</v>
      </c>
      <c r="C17" s="68" t="s">
        <v>93</v>
      </c>
      <c r="D17" s="69">
        <v>5.4</v>
      </c>
      <c r="E17" s="69">
        <f>D17</f>
        <v>5.4</v>
      </c>
      <c r="F17" s="70">
        <f>(D17-E17)*1000</f>
        <v>0</v>
      </c>
      <c r="G17" s="71">
        <v>1.27</v>
      </c>
      <c r="H17" s="69">
        <v>5.25</v>
      </c>
      <c r="I17" s="64">
        <f t="shared" ref="I17:I22" si="2">(G17)*((E17)/(G17))^Deg_reacT2</f>
        <v>2.6187783411354237</v>
      </c>
      <c r="J17" s="23">
        <f t="shared" ref="J17:J23" si="3">(I17-H17)/I17</f>
        <v>-1.0047515734851227</v>
      </c>
      <c r="K17" s="68" t="s">
        <v>93</v>
      </c>
      <c r="L17" s="68" t="s">
        <v>93</v>
      </c>
      <c r="M17" s="69">
        <v>15.47</v>
      </c>
      <c r="N17" s="69">
        <v>10.24</v>
      </c>
      <c r="O17" s="55">
        <f t="shared" ref="O17:O23" si="4">M17-N17</f>
        <v>5.23</v>
      </c>
      <c r="P17" s="72">
        <v>2560</v>
      </c>
      <c r="Q17" s="73">
        <v>36.9</v>
      </c>
      <c r="R17" s="122">
        <f>[1]!hecalc(5,0,1,E17*100000,2,M17,1)</f>
        <v>0.97427808737453769</v>
      </c>
      <c r="S17" s="74">
        <f>[1]!hecalc(9,0,1,E17*100000,2,M17,1)</f>
        <v>91016.411219186586</v>
      </c>
      <c r="T17" s="74">
        <f>[1]!hecalc(9,0,1,G17*100000,2,N17,1)</f>
        <v>66373.317802778343</v>
      </c>
      <c r="U17" s="74">
        <f>[1]!hecalc(8,0,1,E17*100000,2,M17,1)</f>
        <v>12472.706565143129</v>
      </c>
      <c r="V17" s="74">
        <f>[1]!hecalc(9,0,1,G17*100000,8,U17,1)</f>
        <v>57290.857781437982</v>
      </c>
      <c r="W17" s="74">
        <f>S17-T17</f>
        <v>24643.093416408243</v>
      </c>
      <c r="X17" s="74">
        <f>S17-V17</f>
        <v>33725.553437748604</v>
      </c>
      <c r="Y17" s="27">
        <f>W17/X17</f>
        <v>0.73069500436501444</v>
      </c>
      <c r="Z17" s="75">
        <f t="shared" ref="Z17:Z23" si="5">Q17*(W17/1000)/1000</f>
        <v>0.90933014706546411</v>
      </c>
      <c r="AA17" s="76">
        <f t="shared" ref="AA17:AA22" si="6">PI()*(D_roueT2/1000)*P17</f>
        <v>160.84954386379741</v>
      </c>
      <c r="AB17" s="75">
        <f>SQRT(2*X17)</f>
        <v>259.71350922795142</v>
      </c>
      <c r="AC17" s="75">
        <f>AA17/AB17</f>
        <v>0.61933452881197348</v>
      </c>
      <c r="AD17" s="75">
        <f t="shared" ref="AD17:AD23" si="7">LN((H17)/(G17))/LN((E17)/(G17))</f>
        <v>0.98053666832031972</v>
      </c>
      <c r="AE17" s="74">
        <f>[1]!hecalc(14,0,1,E17*100000,2,M17,1)</f>
        <v>5714.0757365530517</v>
      </c>
      <c r="AF17" s="74">
        <f>[1]!hecalc(15,0,1,E17*100000,2,M17,1)</f>
        <v>3134.5084421130418</v>
      </c>
      <c r="AG17" s="64">
        <f>[1]!hecalc(3,0,1,E17*100000,2,M17,1)</f>
        <v>17.247848545681283</v>
      </c>
      <c r="AH17" s="26" t="e">
        <f t="shared" ref="AH17:AH23" si="8">Z17*1000/(L17*P17^3)</f>
        <v>#VALUE!</v>
      </c>
      <c r="AJ17" s="55">
        <f t="shared" ref="AJ17:AJ35" si="9">AJ16+10%</f>
        <v>0.1</v>
      </c>
      <c r="AK17" s="55">
        <f t="shared" si="0"/>
        <v>0.16146362805223063</v>
      </c>
      <c r="AL17" s="42">
        <f t="shared" si="1"/>
        <v>0.14857121007384283</v>
      </c>
    </row>
    <row r="18" spans="1:38" s="50" customFormat="1">
      <c r="A18" s="77" t="s">
        <v>96</v>
      </c>
      <c r="B18" s="78">
        <v>41880</v>
      </c>
      <c r="C18" s="68" t="s">
        <v>93</v>
      </c>
      <c r="D18" s="69">
        <v>5.4</v>
      </c>
      <c r="E18" s="69">
        <f>D18</f>
        <v>5.4</v>
      </c>
      <c r="F18" s="70">
        <f t="shared" ref="F18:F23" si="10">(D18-E18)*1000</f>
        <v>0</v>
      </c>
      <c r="G18" s="69">
        <v>1.27</v>
      </c>
      <c r="H18" s="69">
        <v>2.67</v>
      </c>
      <c r="I18" s="64">
        <f t="shared" si="2"/>
        <v>2.6187783411354237</v>
      </c>
      <c r="J18" s="23">
        <f t="shared" si="3"/>
        <v>-1.9559371658148056E-2</v>
      </c>
      <c r="K18" s="69">
        <v>8.85</v>
      </c>
      <c r="L18" s="69">
        <v>5.36</v>
      </c>
      <c r="M18" s="69">
        <v>16.100000000000001</v>
      </c>
      <c r="N18" s="71">
        <v>10.24</v>
      </c>
      <c r="O18" s="55">
        <f t="shared" si="4"/>
        <v>5.8600000000000012</v>
      </c>
      <c r="P18" s="72">
        <v>2634</v>
      </c>
      <c r="Q18" s="73">
        <v>37.200000000000003</v>
      </c>
      <c r="R18" s="122">
        <f>[1]!hecalc(5,0,1,E18*100000,2,M18,1)</f>
        <v>0.97946523618076875</v>
      </c>
      <c r="S18" s="74">
        <f>[1]!hecalc(9,0,1,E18*100000,2,M18,1)</f>
        <v>94602.191672978413</v>
      </c>
      <c r="T18" s="74">
        <f>[1]!hecalc(9,0,1,G18*100000,2,N18,1)</f>
        <v>66373.317802778343</v>
      </c>
      <c r="U18" s="74">
        <f>[1]!hecalc(8,0,1,E18*100000,2,M18,1)</f>
        <v>12699.90631936084</v>
      </c>
      <c r="V18" s="74">
        <f>[1]!hecalc(9,0,1,G18*100000,8,U18,1)</f>
        <v>59284.98462380268</v>
      </c>
      <c r="W18" s="74">
        <f t="shared" ref="W18:W23" si="11">S18-T18</f>
        <v>28228.87387020007</v>
      </c>
      <c r="X18" s="74">
        <f t="shared" ref="X18:X23" si="12">S18-V18</f>
        <v>35317.207049175733</v>
      </c>
      <c r="Y18" s="27">
        <f t="shared" ref="Y18:Y23" si="13">W18/X18</f>
        <v>0.79929519429138729</v>
      </c>
      <c r="Z18" s="75">
        <f t="shared" si="5"/>
        <v>1.0501141079714424</v>
      </c>
      <c r="AA18" s="76">
        <f t="shared" si="6"/>
        <v>165.49910099111031</v>
      </c>
      <c r="AB18" s="75">
        <f t="shared" ref="AB18:AB23" si="14">SQRT(2*X18)</f>
        <v>265.77135680571649</v>
      </c>
      <c r="AC18" s="75">
        <f t="shared" ref="AC18:AC23" si="15">AA18/AB18</f>
        <v>0.62271233055446618</v>
      </c>
      <c r="AD18" s="75">
        <f t="shared" si="7"/>
        <v>0.51338315985769578</v>
      </c>
      <c r="AE18" s="74">
        <f>[1]!hecalc(14,0,1,E18*100000,2,M18,1)</f>
        <v>5670.3752456536877</v>
      </c>
      <c r="AF18" s="74">
        <f>[1]!hecalc(15,0,1,E18*100000,2,M18,1)</f>
        <v>3136.0445245864344</v>
      </c>
      <c r="AG18" s="64">
        <f>[1]!hecalc(3,0,1,E18*100000,2,M18,1)</f>
        <v>16.485164155951342</v>
      </c>
      <c r="AH18" s="26">
        <f t="shared" si="8"/>
        <v>1.0720730816066318E-8</v>
      </c>
      <c r="AJ18" s="55">
        <f t="shared" si="9"/>
        <v>0.2</v>
      </c>
      <c r="AK18" s="55">
        <f t="shared" si="0"/>
        <v>0.32292725610446127</v>
      </c>
      <c r="AL18" s="42">
        <f t="shared" si="1"/>
        <v>0.32269834837396216</v>
      </c>
    </row>
    <row r="19" spans="1:38" s="50" customFormat="1">
      <c r="A19" s="79" t="s">
        <v>95</v>
      </c>
      <c r="B19" s="78">
        <v>42047</v>
      </c>
      <c r="C19" s="80">
        <v>0.68958333333333333</v>
      </c>
      <c r="D19" s="43" t="s">
        <v>93</v>
      </c>
      <c r="E19" s="106">
        <f>'T1'!G19</f>
        <v>5.27</v>
      </c>
      <c r="F19" s="70" t="e">
        <f t="shared" si="10"/>
        <v>#VALUE!</v>
      </c>
      <c r="G19" s="69">
        <v>1.28</v>
      </c>
      <c r="H19" s="69">
        <v>2.64</v>
      </c>
      <c r="I19" s="64">
        <f t="shared" si="2"/>
        <v>2.5972292929196681</v>
      </c>
      <c r="J19" s="23">
        <f t="shared" si="3"/>
        <v>-1.6467820995600842E-2</v>
      </c>
      <c r="K19" s="69">
        <v>8.33</v>
      </c>
      <c r="L19" s="69">
        <v>5.48</v>
      </c>
      <c r="M19" s="69">
        <v>19.989999999999998</v>
      </c>
      <c r="N19" s="71">
        <v>16.260000000000002</v>
      </c>
      <c r="O19" s="55">
        <f t="shared" si="4"/>
        <v>3.7299999999999969</v>
      </c>
      <c r="P19" s="72">
        <v>2593</v>
      </c>
      <c r="Q19" s="81">
        <f t="shared" ref="Q19:Q24" si="16">Coeff_débit_réelT2*E19/SQRT(R19*M19)</f>
        <v>31.29152449270509</v>
      </c>
      <c r="R19" s="122">
        <f>[1]!hecalc(5,0,1,E19*100000,2,M19,1)</f>
        <v>0.99910635915362744</v>
      </c>
      <c r="S19" s="74">
        <f>[1]!hecalc(9,0,1,E19*100000,2,M19,1)</f>
        <v>116340.35019445806</v>
      </c>
      <c r="T19" s="74">
        <f>[1]!hecalc(9,0,1,G19*100000,2,N19,1)</f>
        <v>98688.464062141138</v>
      </c>
      <c r="U19" s="74">
        <f>[1]!hecalc(8,0,1,E19*100000,2,M19,1)</f>
        <v>13960.165481589091</v>
      </c>
      <c r="V19" s="74">
        <f>[1]!hecalc(9,0,1,G19*100000,8,U19,1)</f>
        <v>72145.189722545649</v>
      </c>
      <c r="W19" s="74">
        <f t="shared" si="11"/>
        <v>17651.886132316926</v>
      </c>
      <c r="X19" s="74">
        <f t="shared" si="12"/>
        <v>44195.160471912415</v>
      </c>
      <c r="Y19" s="27">
        <f t="shared" si="13"/>
        <v>0.3994076714244611</v>
      </c>
      <c r="Z19" s="75">
        <f t="shared" si="5"/>
        <v>0.55235442725183637</v>
      </c>
      <c r="AA19" s="76">
        <f t="shared" si="6"/>
        <v>162.92299501516669</v>
      </c>
      <c r="AB19" s="75">
        <f t="shared" si="14"/>
        <v>297.30509740639297</v>
      </c>
      <c r="AC19" s="75">
        <f t="shared" si="15"/>
        <v>0.54799933279470014</v>
      </c>
      <c r="AD19" s="75">
        <f t="shared" si="7"/>
        <v>0.51154185972763855</v>
      </c>
      <c r="AE19" s="74">
        <f>[1]!hecalc(14,0,1,E19*100000,2,M19,1)</f>
        <v>5486.9096311253079</v>
      </c>
      <c r="AF19" s="74">
        <f>[1]!hecalc(15,0,1,E19*100000,2,M19,1)</f>
        <v>3139.2810948425649</v>
      </c>
      <c r="AG19" s="64">
        <f>[1]!hecalc(3,0,1,E19*100000,2,M19,1)</f>
        <v>12.70283089185657</v>
      </c>
      <c r="AH19" s="26">
        <f t="shared" si="8"/>
        <v>5.7813562353740637E-9</v>
      </c>
      <c r="AI19" s="82"/>
      <c r="AJ19" s="55">
        <f t="shared" si="9"/>
        <v>0.30000000000000004</v>
      </c>
      <c r="AK19" s="55">
        <f t="shared" si="0"/>
        <v>0.48439088415669196</v>
      </c>
      <c r="AL19" s="42">
        <f t="shared" si="1"/>
        <v>0.49535053657588796</v>
      </c>
    </row>
    <row r="20" spans="1:38" s="50" customFormat="1">
      <c r="A20" s="79" t="s">
        <v>94</v>
      </c>
      <c r="B20" s="78">
        <v>42047</v>
      </c>
      <c r="C20" s="80">
        <v>0.7284722222222223</v>
      </c>
      <c r="D20" s="43" t="s">
        <v>93</v>
      </c>
      <c r="E20" s="106">
        <f>'T1'!G20</f>
        <v>5.41</v>
      </c>
      <c r="F20" s="70" t="e">
        <f t="shared" si="10"/>
        <v>#VALUE!</v>
      </c>
      <c r="G20" s="69">
        <v>1.3</v>
      </c>
      <c r="H20" s="69">
        <v>2.72</v>
      </c>
      <c r="I20" s="64">
        <f t="shared" si="2"/>
        <v>2.6519803920843761</v>
      </c>
      <c r="J20" s="23">
        <f t="shared" si="3"/>
        <v>-2.5648608910778095E-2</v>
      </c>
      <c r="K20" s="69">
        <v>8.33</v>
      </c>
      <c r="L20" s="69">
        <v>5.49</v>
      </c>
      <c r="M20" s="69">
        <v>19.989999999999998</v>
      </c>
      <c r="N20" s="71">
        <v>16.260000000000002</v>
      </c>
      <c r="O20" s="55">
        <f t="shared" si="4"/>
        <v>3.7299999999999969</v>
      </c>
      <c r="P20" s="72">
        <v>2629</v>
      </c>
      <c r="Q20" s="81">
        <f t="shared" si="16"/>
        <v>32.122281022620619</v>
      </c>
      <c r="R20" s="122">
        <f>[1]!hecalc(5,0,1,E20*100000,2,M20,1)</f>
        <v>0.99913854287991277</v>
      </c>
      <c r="S20" s="74">
        <f>[1]!hecalc(9,0,1,E20*100000,2,M20,1)</f>
        <v>116271.06541889273</v>
      </c>
      <c r="T20" s="74">
        <f>[1]!hecalc(9,0,1,G20*100000,2,N20,1)</f>
        <v>98672.587565949332</v>
      </c>
      <c r="U20" s="74">
        <f>[1]!hecalc(8,0,1,E20*100000,2,M20,1)</f>
        <v>13902.284863458743</v>
      </c>
      <c r="V20" s="74">
        <f>[1]!hecalc(9,0,1,G20*100000,8,U20,1)</f>
        <v>71846.929803476916</v>
      </c>
      <c r="W20" s="74">
        <f t="shared" si="11"/>
        <v>17598.477852943397</v>
      </c>
      <c r="X20" s="74">
        <f t="shared" si="12"/>
        <v>44424.135615415813</v>
      </c>
      <c r="Y20" s="27">
        <f t="shared" si="13"/>
        <v>0.39614677042441931</v>
      </c>
      <c r="Z20" s="75">
        <f t="shared" si="5"/>
        <v>0.56530325116261293</v>
      </c>
      <c r="AA20" s="76">
        <f t="shared" si="6"/>
        <v>165.18494172575134</v>
      </c>
      <c r="AB20" s="75">
        <f t="shared" si="14"/>
        <v>298.07427133322261</v>
      </c>
      <c r="AC20" s="75">
        <f t="shared" si="15"/>
        <v>0.55417376678273622</v>
      </c>
      <c r="AD20" s="75">
        <f t="shared" si="7"/>
        <v>0.51776104292626823</v>
      </c>
      <c r="AE20" s="74">
        <f>[1]!hecalc(14,0,1,E20*100000,2,M20,1)</f>
        <v>5494.4428995278386</v>
      </c>
      <c r="AF20" s="74">
        <f>[1]!hecalc(15,0,1,E20*100000,2,M20,1)</f>
        <v>3139.8244118648336</v>
      </c>
      <c r="AG20" s="64">
        <f>[1]!hecalc(3,0,1,E20*100000,2,M20,1)</f>
        <v>13.039867453089791</v>
      </c>
      <c r="AH20" s="26">
        <f t="shared" si="8"/>
        <v>5.6667934128777933E-9</v>
      </c>
      <c r="AI20" s="82"/>
      <c r="AJ20" s="55">
        <f t="shared" si="9"/>
        <v>0.4</v>
      </c>
      <c r="AK20" s="55">
        <f t="shared" si="0"/>
        <v>0.64585451220892254</v>
      </c>
      <c r="AL20" s="42">
        <f t="shared" si="1"/>
        <v>0.64381159599729687</v>
      </c>
    </row>
    <row r="21" spans="1:38" s="50" customFormat="1">
      <c r="A21" s="79" t="s">
        <v>97</v>
      </c>
      <c r="B21" s="78">
        <v>42047</v>
      </c>
      <c r="C21" s="80">
        <v>0.79166666666666663</v>
      </c>
      <c r="D21" s="43" t="s">
        <v>93</v>
      </c>
      <c r="E21" s="106">
        <f>'T1'!G21</f>
        <v>5.38</v>
      </c>
      <c r="F21" s="70" t="e">
        <f t="shared" si="10"/>
        <v>#VALUE!</v>
      </c>
      <c r="G21" s="69">
        <v>1.31</v>
      </c>
      <c r="H21" s="69">
        <v>2.74</v>
      </c>
      <c r="I21" s="64">
        <f t="shared" si="2"/>
        <v>2.6547692931778464</v>
      </c>
      <c r="J21" s="23">
        <f t="shared" si="3"/>
        <v>-3.2104750887836986E-2</v>
      </c>
      <c r="K21" s="69">
        <v>8.34</v>
      </c>
      <c r="L21" s="69">
        <v>5.3</v>
      </c>
      <c r="M21" s="69">
        <v>19.8</v>
      </c>
      <c r="N21" s="71">
        <v>16.170000000000002</v>
      </c>
      <c r="O21" s="55">
        <f t="shared" si="4"/>
        <v>3.629999999999999</v>
      </c>
      <c r="P21" s="72">
        <v>2644</v>
      </c>
      <c r="Q21" s="81">
        <f t="shared" si="16"/>
        <v>32.107152946529553</v>
      </c>
      <c r="R21" s="122">
        <f>[1]!hecalc(5,0,1,E21*100000,2,M21,1)</f>
        <v>0.99851018327079222</v>
      </c>
      <c r="S21" s="74">
        <f>[1]!hecalc(9,0,1,E21*100000,2,M21,1)</f>
        <v>115241.68288198525</v>
      </c>
      <c r="T21" s="74">
        <f>[1]!hecalc(9,0,1,G21*100000,2,N21,1)</f>
        <v>98187.011966218124</v>
      </c>
      <c r="U21" s="74">
        <f>[1]!hecalc(8,0,1,E21*100000,2,M21,1)</f>
        <v>13862.081036013305</v>
      </c>
      <c r="V21" s="74">
        <f>[1]!hecalc(9,0,1,G21*100000,8,U21,1)</f>
        <v>71569.839019405365</v>
      </c>
      <c r="W21" s="74">
        <f t="shared" si="11"/>
        <v>17054.670915767128</v>
      </c>
      <c r="X21" s="74">
        <f t="shared" si="12"/>
        <v>43671.843862579888</v>
      </c>
      <c r="Y21" s="27">
        <f t="shared" si="13"/>
        <v>0.39051868222995689</v>
      </c>
      <c r="Z21" s="75">
        <f t="shared" si="5"/>
        <v>0.54757692754526444</v>
      </c>
      <c r="AA21" s="76">
        <f t="shared" si="6"/>
        <v>166.12741952182827</v>
      </c>
      <c r="AB21" s="75">
        <f t="shared" si="14"/>
        <v>295.53965508059957</v>
      </c>
      <c r="AC21" s="75">
        <f t="shared" si="15"/>
        <v>0.56211549504760028</v>
      </c>
      <c r="AD21" s="75">
        <f t="shared" si="7"/>
        <v>0.52236924457174927</v>
      </c>
      <c r="AE21" s="74">
        <f>[1]!hecalc(14,0,1,E21*100000,2,M21,1)</f>
        <v>5498.9093657540179</v>
      </c>
      <c r="AF21" s="74">
        <f>[1]!hecalc(15,0,1,E21*100000,2,M21,1)</f>
        <v>3139.6709992230599</v>
      </c>
      <c r="AG21" s="64">
        <f>[1]!hecalc(3,0,1,E21*100000,2,M21,1)</f>
        <v>13.100232565693384</v>
      </c>
      <c r="AH21" s="26">
        <f t="shared" si="8"/>
        <v>5.589653906194488E-9</v>
      </c>
      <c r="AI21" s="82"/>
      <c r="AJ21" s="55">
        <f t="shared" si="9"/>
        <v>0.5</v>
      </c>
      <c r="AK21" s="55">
        <f t="shared" ref="AK21" si="17">AJ21/U1C0_thT2</f>
        <v>0.80731814026115312</v>
      </c>
      <c r="AL21" s="42">
        <f t="shared" ref="AL21" si="18">(0.321*AK21^4-1.6098*AK21^3+1.316*AK21^2+0.9448*AK21)*(Rendement_thT2/0.97)</f>
        <v>0.74968004759801365</v>
      </c>
    </row>
    <row r="22" spans="1:38" s="50" customFormat="1">
      <c r="A22" s="79" t="s">
        <v>98</v>
      </c>
      <c r="B22" s="78">
        <v>42047</v>
      </c>
      <c r="C22" s="80">
        <v>0.8125</v>
      </c>
      <c r="D22" s="43" t="s">
        <v>93</v>
      </c>
      <c r="E22" s="106">
        <f>'T1'!G22</f>
        <v>5.45</v>
      </c>
      <c r="F22" s="70" t="e">
        <f t="shared" si="10"/>
        <v>#VALUE!</v>
      </c>
      <c r="G22" s="69">
        <v>1.31</v>
      </c>
      <c r="H22" s="69">
        <v>2.77</v>
      </c>
      <c r="I22" s="64">
        <f t="shared" si="2"/>
        <v>2.6719842813908921</v>
      </c>
      <c r="J22" s="23">
        <f t="shared" si="3"/>
        <v>-3.6682745213638089E-2</v>
      </c>
      <c r="K22" s="69">
        <v>8.3699999999999992</v>
      </c>
      <c r="L22" s="69">
        <v>5.31</v>
      </c>
      <c r="M22" s="69">
        <v>20.079999999999998</v>
      </c>
      <c r="N22" s="71">
        <v>16.260000000000002</v>
      </c>
      <c r="O22" s="55">
        <f t="shared" si="4"/>
        <v>3.8199999999999967</v>
      </c>
      <c r="P22" s="72">
        <v>2668</v>
      </c>
      <c r="Q22" s="81">
        <f t="shared" si="16"/>
        <v>32.282355990516884</v>
      </c>
      <c r="R22" s="122">
        <f>[1]!hecalc(5,0,1,E22*100000,2,M22,1)</f>
        <v>0.99943736605546174</v>
      </c>
      <c r="S22" s="74">
        <f>[1]!hecalc(9,0,1,E22*100000,2,M22,1)</f>
        <v>116745.87140377617</v>
      </c>
      <c r="T22" s="74">
        <f>[1]!hecalc(9,0,1,G22*100000,2,N22,1)</f>
        <v>98664.650729135959</v>
      </c>
      <c r="U22" s="74">
        <f>[1]!hecalc(8,0,1,E22*100000,2,M22,1)</f>
        <v>13910.692640917368</v>
      </c>
      <c r="V22" s="74">
        <f>[1]!hecalc(9,0,1,G22*100000,8,U22,1)</f>
        <v>72116.916303249382</v>
      </c>
      <c r="W22" s="74">
        <f t="shared" si="11"/>
        <v>18081.220674640208</v>
      </c>
      <c r="X22" s="74">
        <f t="shared" si="12"/>
        <v>44628.955100526786</v>
      </c>
      <c r="Y22" s="27">
        <f t="shared" si="13"/>
        <v>0.40514550775191199</v>
      </c>
      <c r="Z22" s="75">
        <f t="shared" si="5"/>
        <v>0.58370440256182909</v>
      </c>
      <c r="AA22" s="76">
        <f t="shared" si="6"/>
        <v>167.63538399555136</v>
      </c>
      <c r="AB22" s="75">
        <f t="shared" si="14"/>
        <v>298.76062357856597</v>
      </c>
      <c r="AC22" s="75">
        <f t="shared" si="15"/>
        <v>0.56110267138824532</v>
      </c>
      <c r="AD22" s="75">
        <f t="shared" si="7"/>
        <v>0.52527093054995888</v>
      </c>
      <c r="AE22" s="74">
        <f>[1]!hecalc(14,0,1,E22*100000,2,M22,1)</f>
        <v>5493.7395046231313</v>
      </c>
      <c r="AF22" s="74">
        <f>[1]!hecalc(15,0,1,E22*100000,2,M22,1)</f>
        <v>3139.9940203408746</v>
      </c>
      <c r="AG22" s="64">
        <f>[1]!hecalc(3,0,1,E22*100000,2,M22,1)</f>
        <v>13.073492738853924</v>
      </c>
      <c r="AH22" s="26">
        <f t="shared" si="8"/>
        <v>5.7881659241145377E-9</v>
      </c>
      <c r="AI22" s="82"/>
      <c r="AJ22" s="55">
        <f t="shared" si="9"/>
        <v>0.6</v>
      </c>
      <c r="AK22" s="55">
        <f t="shared" ref="AK22" si="19">AJ22/U1C0_thT2</f>
        <v>0.9687817683133837</v>
      </c>
      <c r="AL22" s="42">
        <f t="shared" ref="AL22" si="20">(0.321*AK22^4-1.6098*AK22^3+1.316*AK22^2+0.9448*AK22)*(Rendement_thT2/0.97)</f>
        <v>0.79886911198000987</v>
      </c>
    </row>
    <row r="23" spans="1:38" s="50" customFormat="1">
      <c r="A23" s="79" t="s">
        <v>99</v>
      </c>
      <c r="B23" s="78">
        <v>42053</v>
      </c>
      <c r="C23" s="80">
        <v>0.7090277777777777</v>
      </c>
      <c r="D23" s="43" t="s">
        <v>93</v>
      </c>
      <c r="E23" s="106">
        <f>'T1'!G23</f>
        <v>5.42</v>
      </c>
      <c r="F23" s="70" t="e">
        <f t="shared" si="10"/>
        <v>#VALUE!</v>
      </c>
      <c r="G23" s="69">
        <v>1.3</v>
      </c>
      <c r="H23" s="69">
        <v>2.75</v>
      </c>
      <c r="I23" s="64">
        <f t="shared" ref="I23" si="21">(G23)*((E23)/(G23))^Deg_reacT2</f>
        <v>2.6544302590198146</v>
      </c>
      <c r="J23" s="23">
        <f t="shared" si="3"/>
        <v>-3.6003862092604352E-2</v>
      </c>
      <c r="K23" s="69">
        <v>8.3699999999999992</v>
      </c>
      <c r="L23" s="69">
        <v>5.32</v>
      </c>
      <c r="M23" s="69">
        <v>19.89</v>
      </c>
      <c r="N23" s="71">
        <v>16.170000000000002</v>
      </c>
      <c r="O23" s="55">
        <f t="shared" si="4"/>
        <v>3.7199999999999989</v>
      </c>
      <c r="P23" s="72">
        <v>2663</v>
      </c>
      <c r="Q23" s="81">
        <f t="shared" si="16"/>
        <v>32.267679996443896</v>
      </c>
      <c r="R23" s="122">
        <f>[1]!hecalc(5,0,1,E23*100000,2,M23,1)</f>
        <v>0.99881495963183509</v>
      </c>
      <c r="S23" s="74">
        <f>[1]!hecalc(9,0,1,E23*100000,2,M23,1)</f>
        <v>115716.46661793988</v>
      </c>
      <c r="T23" s="74">
        <f>[1]!hecalc(9,0,1,G23*100000,2,N23,1)</f>
        <v>98195.027319294808</v>
      </c>
      <c r="U23" s="74">
        <f>[1]!hecalc(8,0,1,E23*100000,2,M23,1)</f>
        <v>13870.639262226423</v>
      </c>
      <c r="V23" s="74">
        <f>[1]!hecalc(9,0,1,G23*100000,8,U23,1)</f>
        <v>71491.884471712692</v>
      </c>
      <c r="W23" s="74">
        <f t="shared" si="11"/>
        <v>17521.439298645069</v>
      </c>
      <c r="X23" s="74">
        <f t="shared" si="12"/>
        <v>44224.582146227185</v>
      </c>
      <c r="Y23" s="27">
        <f t="shared" si="13"/>
        <v>0.39619230862851307</v>
      </c>
      <c r="Z23" s="75">
        <f t="shared" si="5"/>
        <v>0.5653761963657955</v>
      </c>
      <c r="AA23" s="76">
        <f t="shared" ref="AA23" si="22">PI()*(D_roueT2/1000)*P23</f>
        <v>167.3212247301924</v>
      </c>
      <c r="AB23" s="75">
        <f t="shared" si="14"/>
        <v>297.40404215890271</v>
      </c>
      <c r="AC23" s="75">
        <f t="shared" si="15"/>
        <v>0.56260575181016814</v>
      </c>
      <c r="AD23" s="75">
        <f t="shared" si="7"/>
        <v>0.52477417529547332</v>
      </c>
      <c r="AE23" s="74">
        <f>[1]!hecalc(14,0,1,E23*100000,2,M23,1)</f>
        <v>5498.1802961531539</v>
      </c>
      <c r="AF23" s="74">
        <f>[1]!hecalc(15,0,1,E23*100000,2,M23,1)</f>
        <v>3139.8442048469051</v>
      </c>
      <c r="AG23" s="64">
        <f>[1]!hecalc(3,0,1,E23*100000,2,M23,1)</f>
        <v>13.133905395791144</v>
      </c>
      <c r="AH23" s="26">
        <f t="shared" si="8"/>
        <v>5.6274596296145778E-9</v>
      </c>
      <c r="AI23" s="82"/>
      <c r="AJ23" s="55">
        <f t="shared" si="9"/>
        <v>0.7</v>
      </c>
      <c r="AK23" s="55">
        <f t="shared" ref="AK23" si="23">AJ23/U1C0_thT2</f>
        <v>1.1302453963656143</v>
      </c>
      <c r="AL23" s="42">
        <f t="shared" ref="AL23" si="24">(0.321*AK23^4-1.6098*AK23^3+1.316*AK23^2+0.9448*AK23)*(Rendement_thT2/0.97)</f>
        <v>0.78160670938740406</v>
      </c>
    </row>
    <row r="24" spans="1:38" s="50" customFormat="1">
      <c r="A24" s="79" t="s">
        <v>165</v>
      </c>
      <c r="B24" s="78">
        <v>42053</v>
      </c>
      <c r="C24" s="80">
        <v>0.7090277777777777</v>
      </c>
      <c r="D24" s="43" t="s">
        <v>93</v>
      </c>
      <c r="E24" s="106">
        <f>'T1'!G24</f>
        <v>5.34</v>
      </c>
      <c r="F24" s="70" t="e">
        <f t="shared" ref="F24" si="25">(D24-E24)*1000</f>
        <v>#VALUE!</v>
      </c>
      <c r="G24" s="69">
        <v>1.3</v>
      </c>
      <c r="H24" s="69">
        <v>2.75</v>
      </c>
      <c r="I24" s="64">
        <f t="shared" ref="I24" si="26">(G24)*((E24)/(G24))^Deg_reacT2</f>
        <v>2.6347675419285097</v>
      </c>
      <c r="J24" s="23">
        <f t="shared" ref="J24" si="27">(I24-H24)/I24</f>
        <v>-4.3735341443877918E-2</v>
      </c>
      <c r="K24" s="69">
        <v>8.3699999999999992</v>
      </c>
      <c r="L24" s="69">
        <v>5.32</v>
      </c>
      <c r="M24" s="69">
        <v>19.89</v>
      </c>
      <c r="N24" s="71">
        <v>16.170000000000002</v>
      </c>
      <c r="O24" s="55">
        <f t="shared" ref="O24" si="28">M24-N24</f>
        <v>3.7199999999999989</v>
      </c>
      <c r="P24" s="72">
        <v>2663</v>
      </c>
      <c r="Q24" s="81">
        <f t="shared" si="16"/>
        <v>31.791637067639485</v>
      </c>
      <c r="R24" s="122">
        <f>[1]!hecalc(5,0,1,E24*100000,2,M24,1)</f>
        <v>0.99880033226413201</v>
      </c>
      <c r="S24" s="74">
        <f>[1]!hecalc(9,0,1,E24*100000,2,M24,1)</f>
        <v>115756.45756817413</v>
      </c>
      <c r="T24" s="74">
        <f>[1]!hecalc(9,0,1,G24*100000,2,N24,1)</f>
        <v>98195.027319294808</v>
      </c>
      <c r="U24" s="74">
        <f>[1]!hecalc(8,0,1,E24*100000,2,M24,1)</f>
        <v>13903.501852794079</v>
      </c>
      <c r="V24" s="74">
        <f>[1]!hecalc(9,0,1,G24*100000,8,U24,1)</f>
        <v>71860.625058249308</v>
      </c>
      <c r="W24" s="74">
        <f t="shared" ref="W24" si="29">S24-T24</f>
        <v>17561.430248879318</v>
      </c>
      <c r="X24" s="74">
        <f t="shared" ref="X24" si="30">S24-V24</f>
        <v>43895.832509924818</v>
      </c>
      <c r="Y24" s="27">
        <f t="shared" ref="Y24" si="31">W24/X24</f>
        <v>0.40007055897410515</v>
      </c>
      <c r="Z24" s="75">
        <f t="shared" ref="Z24" si="32">Q24*(W24/1000)/1000</f>
        <v>0.558306616861037</v>
      </c>
      <c r="AA24" s="76">
        <f t="shared" ref="AA24" si="33">PI()*(D_roueT2/1000)*P24</f>
        <v>167.3212247301924</v>
      </c>
      <c r="AB24" s="75">
        <f t="shared" ref="AB24" si="34">SQRT(2*X24)</f>
        <v>296.29658286900582</v>
      </c>
      <c r="AC24" s="75">
        <f t="shared" ref="AC24" si="35">AA24/AB24</f>
        <v>0.56470858728791329</v>
      </c>
      <c r="AD24" s="75">
        <f t="shared" ref="AD24" si="36">LN((H24)/(G24))/LN((E24)/(G24))</f>
        <v>0.53029734785518412</v>
      </c>
      <c r="AE24" s="74">
        <f>[1]!hecalc(14,0,1,E24*100000,2,M24,1)</f>
        <v>5493.8316583275628</v>
      </c>
      <c r="AF24" s="74">
        <f>[1]!hecalc(15,0,1,E24*100000,2,M24,1)</f>
        <v>3139.5352092316721</v>
      </c>
      <c r="AG24" s="64">
        <f>[1]!hecalc(3,0,1,E24*100000,2,M24,1)</f>
        <v>12.940236519737798</v>
      </c>
      <c r="AH24" s="26">
        <f t="shared" ref="AH24" si="37">Z24*1000/(L24*P24^3)</f>
        <v>5.5570927243272539E-9</v>
      </c>
      <c r="AI24" s="82"/>
      <c r="AJ24" s="55">
        <f t="shared" si="9"/>
        <v>0.79999999999999993</v>
      </c>
      <c r="AK24" s="55">
        <f t="shared" ref="AK24" si="38">AJ24/U1C0_thT2</f>
        <v>1.2917090244178449</v>
      </c>
      <c r="AL24" s="42">
        <f t="shared" ref="AL24" si="39">(0.321*AK24^4-1.6098*AK24^3+1.316*AK24^2+0.9448*AK24)*(Rendement_thT2/0.97)</f>
        <v>0.69243545970646281</v>
      </c>
    </row>
    <row r="25" spans="1:38" s="50" customFormat="1">
      <c r="A25" s="79" t="str">
        <f>'T1'!A25</f>
        <v>Cas 6</v>
      </c>
      <c r="B25" s="78">
        <f>'T1'!B25</f>
        <v>42039</v>
      </c>
      <c r="C25" s="80">
        <f>'T1'!C25</f>
        <v>0.65763888888888888</v>
      </c>
      <c r="D25" s="43" t="s">
        <v>93</v>
      </c>
      <c r="E25" s="106">
        <f>'T1'!G25</f>
        <v>5.093</v>
      </c>
      <c r="F25" s="70" t="e">
        <f t="shared" ref="F25" si="40">(D25-E25)*1000</f>
        <v>#VALUE!</v>
      </c>
      <c r="G25" s="69">
        <v>1.2849999999999999</v>
      </c>
      <c r="H25" s="69">
        <v>2.5979999999999999</v>
      </c>
      <c r="I25" s="64">
        <f t="shared" ref="I25" si="41">(G25)*((E25)/(G25))^Deg_reacT2</f>
        <v>2.5582230160797161</v>
      </c>
      <c r="J25" s="23">
        <f t="shared" ref="J25" si="42">(I25-H25)/I25</f>
        <v>-1.5548677214717173E-2</v>
      </c>
      <c r="K25" s="69">
        <v>8.2750000000000004</v>
      </c>
      <c r="L25" s="69">
        <v>5.44</v>
      </c>
      <c r="M25" s="69">
        <v>19.8</v>
      </c>
      <c r="N25" s="71">
        <v>16.260000000000002</v>
      </c>
      <c r="O25" s="55">
        <f t="shared" ref="O25" si="43">M25-N25</f>
        <v>3.5399999999999991</v>
      </c>
      <c r="P25" s="72">
        <v>2553</v>
      </c>
      <c r="Q25" s="81">
        <f t="shared" ref="Q25" si="44">Coeff_débit_réelT2*E25/SQRT(R25*M25)</f>
        <v>30.394854029774038</v>
      </c>
      <c r="R25" s="122">
        <f>[1]!hecalc(5,0,1,E25*100000,2,M25,1)</f>
        <v>0.99847861790569103</v>
      </c>
      <c r="S25" s="74">
        <f>[1]!hecalc(9,0,1,E25*100000,2,M25,1)</f>
        <v>115386.99023748722</v>
      </c>
      <c r="T25" s="74">
        <f>[1]!hecalc(9,0,1,G25*100000,2,N25,1)</f>
        <v>98684.494585509368</v>
      </c>
      <c r="U25" s="74">
        <f>[1]!hecalc(8,0,1,E25*100000,2,M25,1)</f>
        <v>13983.124957550401</v>
      </c>
      <c r="V25" s="74">
        <f>[1]!hecalc(9,0,1,G25*100000,8,U25,1)</f>
        <v>72495.063600722438</v>
      </c>
      <c r="W25" s="74">
        <f t="shared" ref="W25" si="45">S25-T25</f>
        <v>16702.49565197785</v>
      </c>
      <c r="X25" s="74">
        <f t="shared" ref="X25" si="46">S25-V25</f>
        <v>42891.92663676478</v>
      </c>
      <c r="Y25" s="27">
        <f t="shared" ref="Y25" si="47">W25/X25</f>
        <v>0.38940884594494574</v>
      </c>
      <c r="Z25" s="75">
        <f t="shared" ref="Z25" si="48">Q25*(W25/1000)/1000</f>
        <v>0.50766991727480226</v>
      </c>
      <c r="AA25" s="76">
        <f t="shared" ref="AA25" si="49">PI()*(D_roueT2/1000)*P25</f>
        <v>160.40972089229484</v>
      </c>
      <c r="AB25" s="75">
        <f t="shared" ref="AB25" si="50">SQRT(2*X25)</f>
        <v>292.88880701305328</v>
      </c>
      <c r="AC25" s="75">
        <f t="shared" ref="AC25" si="51">AA25/AB25</f>
        <v>0.54768129423650458</v>
      </c>
      <c r="AD25" s="75">
        <f t="shared" ref="AD25" si="52">LN((H25)/(G25))/LN((E25)/(G25))</f>
        <v>0.51120393711405765</v>
      </c>
      <c r="AE25" s="74">
        <f>[1]!hecalc(14,0,1,E25*100000,2,M25,1)</f>
        <v>5483.1163124728882</v>
      </c>
      <c r="AF25" s="74">
        <f>[1]!hecalc(15,0,1,E25*100000,2,M25,1)</f>
        <v>3138.5575200037647</v>
      </c>
      <c r="AG25" s="64">
        <f>[1]!hecalc(3,0,1,E25*100000,2,M25,1)</f>
        <v>12.401783213931195</v>
      </c>
      <c r="AH25" s="26">
        <f t="shared" ref="AH25" si="53">Z25*1000/(L25*P25^3)</f>
        <v>5.6082851284256998E-9</v>
      </c>
      <c r="AI25" s="82"/>
      <c r="AJ25" s="55">
        <f t="shared" si="9"/>
        <v>0.89999999999999991</v>
      </c>
      <c r="AK25" s="55">
        <f t="shared" ref="AK25" si="54">AJ25/U1C0_thT2</f>
        <v>1.4531726524700754</v>
      </c>
      <c r="AL25" s="42">
        <f t="shared" ref="AL25" si="55">(0.321*AK25^4-1.6098*AK25^3+1.316*AK25^2+0.9448*AK25)*(Rendement_thT2/0.97)</f>
        <v>0.53021268246559972</v>
      </c>
    </row>
    <row r="26" spans="1:38" s="50" customFormat="1">
      <c r="A26" s="79" t="str">
        <f>'T1'!A26</f>
        <v>Cas 7</v>
      </c>
      <c r="B26" s="78">
        <f>'T1'!B26</f>
        <v>42039</v>
      </c>
      <c r="C26" s="80">
        <f>'T1'!C26</f>
        <v>0.58333333333333337</v>
      </c>
      <c r="D26" s="43" t="s">
        <v>93</v>
      </c>
      <c r="E26" s="106">
        <f>'T1'!G26</f>
        <v>4.78</v>
      </c>
      <c r="F26" s="70" t="e">
        <f t="shared" ref="F26:F27" si="56">(D26-E26)*1000</f>
        <v>#VALUE!</v>
      </c>
      <c r="G26" s="69">
        <v>1.256</v>
      </c>
      <c r="H26" s="69">
        <v>2.4300000000000002</v>
      </c>
      <c r="I26" s="64">
        <f t="shared" ref="I26:I27" si="57">(G26)*((E26)/(G26))^Deg_reacT2</f>
        <v>2.450240804492489</v>
      </c>
      <c r="J26" s="23">
        <f t="shared" ref="J26:J27" si="58">(I26-H26)/I26</f>
        <v>8.2607409261071796E-3</v>
      </c>
      <c r="K26" s="69">
        <v>8.26</v>
      </c>
      <c r="L26" s="69">
        <v>5.41</v>
      </c>
      <c r="M26" s="69">
        <v>19.71</v>
      </c>
      <c r="N26" s="71">
        <v>16.350000000000001</v>
      </c>
      <c r="O26" s="55">
        <f t="shared" ref="O26:O27" si="59">M26-N26</f>
        <v>3.3599999999999994</v>
      </c>
      <c r="P26" s="72">
        <v>2476</v>
      </c>
      <c r="Q26" s="81">
        <f t="shared" ref="Q26:Q27" si="60">Coeff_débit_réelT2*E26/SQRT(R26*M26)</f>
        <v>28.596111127326399</v>
      </c>
      <c r="R26" s="122">
        <f>[1]!hecalc(5,0,1,E26*100000,2,M26,1)</f>
        <v>0.99818708795173328</v>
      </c>
      <c r="S26" s="74">
        <f>[1]!hecalc(9,0,1,E26*100000,2,M26,1)</f>
        <v>115054.3881321587</v>
      </c>
      <c r="T26" s="74">
        <f>[1]!hecalc(9,0,1,G26*100000,2,N26,1)</f>
        <v>99184.626217678815</v>
      </c>
      <c r="U26" s="74">
        <f>[1]!hecalc(8,0,1,E26*100000,2,M26,1)</f>
        <v>14097.8200633945</v>
      </c>
      <c r="V26" s="74">
        <f>[1]!hecalc(9,0,1,G26*100000,8,U26,1)</f>
        <v>73276.706920165627</v>
      </c>
      <c r="W26" s="74">
        <f t="shared" ref="W26:W27" si="61">S26-T26</f>
        <v>15869.761914479881</v>
      </c>
      <c r="X26" s="74">
        <f t="shared" ref="X26:X27" si="62">S26-V26</f>
        <v>41777.681211993069</v>
      </c>
      <c r="Y26" s="27">
        <f t="shared" ref="Y26:Y27" si="63">W26/X26</f>
        <v>0.37986220044027164</v>
      </c>
      <c r="Z26" s="75">
        <f t="shared" ref="Z26:Z27" si="64">Q26*(W26/1000)/1000</f>
        <v>0.45381347527067878</v>
      </c>
      <c r="AA26" s="76">
        <f t="shared" ref="AA26:AA27" si="65">PI()*(D_roueT2/1000)*P26</f>
        <v>155.57166820576657</v>
      </c>
      <c r="AB26" s="75">
        <f t="shared" ref="AB26:AB27" si="66">SQRT(2*X26)</f>
        <v>289.05944444696172</v>
      </c>
      <c r="AC26" s="75">
        <f t="shared" ref="AC26:AC27" si="67">AA26/AB26</f>
        <v>0.53819956827015814</v>
      </c>
      <c r="AD26" s="75">
        <f t="shared" ref="AD26:AD27" si="68">LN((H26)/(G26))/LN((E26)/(G26))</f>
        <v>0.49379349247989579</v>
      </c>
      <c r="AE26" s="74">
        <f>[1]!hecalc(14,0,1,E26*100000,2,M26,1)</f>
        <v>5468.4246640319161</v>
      </c>
      <c r="AF26" s="74">
        <f>[1]!hecalc(15,0,1,E26*100000,2,M26,1)</f>
        <v>3137.3099334282433</v>
      </c>
      <c r="AG26" s="64">
        <f>[1]!hecalc(3,0,1,E26*100000,2,M26,1)</f>
        <v>11.696171918049457</v>
      </c>
      <c r="AH26" s="26">
        <f t="shared" ref="AH26:AH27" si="69">Z26*1000/(L26*P26^3)</f>
        <v>5.5262203943844818E-9</v>
      </c>
      <c r="AI26" s="82"/>
      <c r="AJ26" s="55">
        <f t="shared" si="9"/>
        <v>0.99999999999999989</v>
      </c>
      <c r="AK26" s="55">
        <f t="shared" ref="AK26:AK27" si="70">AJ26/U1C0_thT2</f>
        <v>1.614636280522306</v>
      </c>
      <c r="AL26" s="42">
        <f t="shared" ref="AL26:AL27" si="71">(0.321*AK26^4-1.6098*AK26^3+1.316*AK26^2+0.9448*AK26)*(Rendement_thT2/0.97)</f>
        <v>0.29811039683537538</v>
      </c>
    </row>
    <row r="27" spans="1:38" s="50" customFormat="1">
      <c r="A27" s="79" t="str">
        <f>'T1'!A27</f>
        <v>Cas 8 - redem T1</v>
      </c>
      <c r="B27" s="78">
        <f>'T1'!B27</f>
        <v>42046</v>
      </c>
      <c r="C27" s="80">
        <f>'T1'!C27</f>
        <v>0.62291666666666667</v>
      </c>
      <c r="D27" s="43" t="s">
        <v>93</v>
      </c>
      <c r="E27" s="106">
        <f>'T1'!G27</f>
        <v>2.5459999999999998</v>
      </c>
      <c r="F27" s="70" t="e">
        <f t="shared" si="56"/>
        <v>#VALUE!</v>
      </c>
      <c r="G27" s="69">
        <v>1.1339999999999999</v>
      </c>
      <c r="H27" s="69">
        <v>1.5389999999999999</v>
      </c>
      <c r="I27" s="64">
        <f t="shared" si="57"/>
        <v>1.6991656776194604</v>
      </c>
      <c r="J27" s="23">
        <f t="shared" si="58"/>
        <v>9.4261365874488093E-2</v>
      </c>
      <c r="K27" s="69">
        <v>8.1660000000000004</v>
      </c>
      <c r="L27" s="69">
        <v>5.2030000000000003</v>
      </c>
      <c r="M27" s="69">
        <v>17.899999999999999</v>
      </c>
      <c r="N27" s="71">
        <v>16.62</v>
      </c>
      <c r="O27" s="55">
        <f t="shared" si="59"/>
        <v>1.2799999999999976</v>
      </c>
      <c r="P27" s="72">
        <v>1692</v>
      </c>
      <c r="Q27" s="81">
        <f t="shared" si="60"/>
        <v>16.009430516865155</v>
      </c>
      <c r="R27" s="122">
        <f>[1]!hecalc(5,0,1,E27*100000,2,M27,1)</f>
        <v>0.99487548975245554</v>
      </c>
      <c r="S27" s="74">
        <f>[1]!hecalc(9,0,1,E27*100000,2,M27,1)</f>
        <v>106535.54002357685</v>
      </c>
      <c r="T27" s="74">
        <f>[1]!hecalc(9,0,1,G27*100000,2,N27,1)</f>
        <v>100708.53562584025</v>
      </c>
      <c r="U27" s="74">
        <f>[1]!hecalc(8,0,1,E27*100000,2,M27,1)</f>
        <v>14947.853373096021</v>
      </c>
      <c r="V27" s="74">
        <f>[1]!hecalc(9,0,1,G27*100000,8,U27,1)</f>
        <v>81103.000221299211</v>
      </c>
      <c r="W27" s="74">
        <f t="shared" si="61"/>
        <v>5827.0043977366004</v>
      </c>
      <c r="X27" s="74">
        <f t="shared" si="62"/>
        <v>25432.539802277635</v>
      </c>
      <c r="Y27" s="27">
        <f t="shared" si="63"/>
        <v>0.22911610256144208</v>
      </c>
      <c r="Z27" s="75">
        <f t="shared" si="64"/>
        <v>9.3287022027031791E-2</v>
      </c>
      <c r="AA27" s="76">
        <f t="shared" si="65"/>
        <v>106.31149539747861</v>
      </c>
      <c r="AB27" s="75">
        <f t="shared" si="66"/>
        <v>225.53287920956285</v>
      </c>
      <c r="AC27" s="75">
        <f t="shared" si="67"/>
        <v>0.47137914334297598</v>
      </c>
      <c r="AD27" s="75">
        <f t="shared" si="68"/>
        <v>0.37758668478561336</v>
      </c>
      <c r="AE27" s="74">
        <f>[1]!hecalc(14,0,1,E27*100000,2,M27,1)</f>
        <v>5374.0248008067756</v>
      </c>
      <c r="AF27" s="74">
        <f>[1]!hecalc(15,0,1,E27*100000,2,M27,1)</f>
        <v>3127.7127310515239</v>
      </c>
      <c r="AG27" s="64">
        <f>[1]!hecalc(3,0,1,E27*100000,2,M27,1)</f>
        <v>6.8825766295656141</v>
      </c>
      <c r="AH27" s="26">
        <f t="shared" si="69"/>
        <v>3.7014026149200325E-9</v>
      </c>
      <c r="AI27" s="82"/>
      <c r="AJ27" s="55">
        <f t="shared" si="9"/>
        <v>1.0999999999999999</v>
      </c>
      <c r="AK27" s="55">
        <f t="shared" si="70"/>
        <v>1.7760999085745366</v>
      </c>
      <c r="AL27" s="42">
        <f t="shared" si="71"/>
        <v>3.6153216284977394E-3</v>
      </c>
    </row>
    <row r="28" spans="1:38" s="50" customFormat="1">
      <c r="A28" s="79" t="str">
        <f>'T1'!A28</f>
        <v>Cas 9</v>
      </c>
      <c r="B28" s="78">
        <f>'T1'!B28</f>
        <v>42047</v>
      </c>
      <c r="C28" s="80">
        <f>'T1'!C28</f>
        <v>0.76597222222222217</v>
      </c>
      <c r="D28" s="43" t="s">
        <v>93</v>
      </c>
      <c r="E28" s="106">
        <f>'T1'!G28</f>
        <v>5.19</v>
      </c>
      <c r="F28" s="70" t="e">
        <f t="shared" ref="F28" si="72">(D28-E28)*1000</f>
        <v>#VALUE!</v>
      </c>
      <c r="G28" s="69">
        <v>1.296</v>
      </c>
      <c r="H28" s="69">
        <v>2.56</v>
      </c>
      <c r="I28" s="64">
        <f t="shared" ref="I28" si="73">(G28)*((E28)/(G28))^Deg_reacT2</f>
        <v>2.5934995662232141</v>
      </c>
      <c r="J28" s="23">
        <f t="shared" ref="J28" si="74">(I28-H28)/I28</f>
        <v>1.2916742558780454E-2</v>
      </c>
      <c r="K28" s="69">
        <v>8.3101900000000004</v>
      </c>
      <c r="L28" s="69">
        <v>5.46</v>
      </c>
      <c r="M28" s="69">
        <v>20.8</v>
      </c>
      <c r="N28" s="71">
        <v>16.8</v>
      </c>
      <c r="O28" s="55">
        <f t="shared" ref="O28" si="75">M28-N28</f>
        <v>4</v>
      </c>
      <c r="P28" s="72">
        <v>2603</v>
      </c>
      <c r="Q28" s="81">
        <f t="shared" ref="Q28" si="76">Coeff_débit_réelT2*E28/SQRT(R28*M28)</f>
        <v>30.175847162860276</v>
      </c>
      <c r="R28" s="122">
        <f>[1]!hecalc(5,0,1,E28*100000,2,M28,1)</f>
        <v>1.0014036474977375</v>
      </c>
      <c r="S28" s="74">
        <f>[1]!hecalc(9,0,1,E28*100000,2,M28,1)</f>
        <v>120811.36787695743</v>
      </c>
      <c r="T28" s="74">
        <f>[1]!hecalc(9,0,1,G28*100000,2,N28,1)</f>
        <v>101538.62663013834</v>
      </c>
      <c r="U28" s="74">
        <f>[1]!hecalc(8,0,1,E28*100000,2,M28,1)</f>
        <v>14211.203869461429</v>
      </c>
      <c r="V28" s="74">
        <f>[1]!hecalc(9,0,1,G28*100000,8,U28,1)</f>
        <v>75349.173391615812</v>
      </c>
      <c r="W28" s="74">
        <f t="shared" ref="W28" si="77">S28-T28</f>
        <v>19272.741246819089</v>
      </c>
      <c r="X28" s="74">
        <f t="shared" ref="X28" si="78">S28-V28</f>
        <v>45462.194485341621</v>
      </c>
      <c r="Y28" s="27">
        <f t="shared" ref="Y28" si="79">W28/X28</f>
        <v>0.42392896922371842</v>
      </c>
      <c r="Z28" s="75">
        <f t="shared" ref="Z28" si="80">Q28*(W28/1000)/1000</f>
        <v>0.58157129427336596</v>
      </c>
      <c r="AA28" s="76">
        <f t="shared" ref="AA28" si="81">PI()*(D_roueT2/1000)*P28</f>
        <v>163.55131354588465</v>
      </c>
      <c r="AB28" s="75">
        <f t="shared" ref="AB28" si="82">SQRT(2*X28)</f>
        <v>301.53671247575016</v>
      </c>
      <c r="AC28" s="75">
        <f t="shared" ref="AC28" si="83">AA28/AB28</f>
        <v>0.54239270635756365</v>
      </c>
      <c r="AD28" s="75">
        <f t="shared" ref="AD28" si="84">LN((H28)/(G28))/LN((E28)/(G28))</f>
        <v>0.49062965961862137</v>
      </c>
      <c r="AE28" s="74">
        <f>[1]!hecalc(14,0,1,E28*100000,2,M28,1)</f>
        <v>5459.4568655658595</v>
      </c>
      <c r="AF28" s="74">
        <f>[1]!hecalc(15,0,1,E28*100000,2,M28,1)</f>
        <v>3139.0178209409733</v>
      </c>
      <c r="AG28" s="64">
        <f>[1]!hecalc(3,0,1,E28*100000,2,M28,1)</f>
        <v>11.995249138097575</v>
      </c>
      <c r="AH28" s="26">
        <f t="shared" ref="AH28" si="85">Z28*1000/(L28*P28^3)</f>
        <v>6.0393168468927444E-9</v>
      </c>
      <c r="AI28" s="82"/>
      <c r="AJ28" s="55">
        <f t="shared" si="9"/>
        <v>1.2</v>
      </c>
      <c r="AK28" s="55">
        <f t="shared" ref="AK28" si="86">AJ28/U1C0_thT2</f>
        <v>1.9375635366267674</v>
      </c>
      <c r="AL28" s="42">
        <f t="shared" ref="AL28" si="87">(0.321*AK28^4-1.6098*AK28^3+1.316*AK28^2+0.9448*AK28)*(Rendement_thT2/0.97)</f>
        <v>-0.34147112470017815</v>
      </c>
    </row>
    <row r="29" spans="1:38" s="50" customFormat="1">
      <c r="A29" s="79">
        <f>'T1'!A29</f>
        <v>0</v>
      </c>
      <c r="B29" s="78">
        <f>'T1'!B29</f>
        <v>0</v>
      </c>
      <c r="C29" s="80">
        <f>'T1'!C29</f>
        <v>0</v>
      </c>
      <c r="D29" s="43" t="s">
        <v>93</v>
      </c>
      <c r="E29" s="106">
        <f>'T1'!G29</f>
        <v>0</v>
      </c>
      <c r="F29" s="70" t="e">
        <f t="shared" ref="F29:F35" si="88">(D29-E29)*1000</f>
        <v>#VALUE!</v>
      </c>
      <c r="G29" s="69"/>
      <c r="H29" s="69"/>
      <c r="I29" s="64" t="e">
        <f t="shared" ref="I29:I35" si="89">(G29)*((E29)/(G29))^Deg_reacT2</f>
        <v>#DIV/0!</v>
      </c>
      <c r="J29" s="23" t="e">
        <f t="shared" ref="J29:J35" si="90">(I29-H29)/I29</f>
        <v>#DIV/0!</v>
      </c>
      <c r="K29" s="69"/>
      <c r="L29" s="69"/>
      <c r="M29" s="69"/>
      <c r="N29" s="71"/>
      <c r="O29" s="55">
        <f t="shared" ref="O29:O35" si="91">M29-N29</f>
        <v>0</v>
      </c>
      <c r="P29" s="72"/>
      <c r="Q29" s="81" t="e">
        <f t="shared" ref="Q29:Q35" si="92">Coeff_débit_réelT2*E29/SQRT(R29*M29)</f>
        <v>#VALUE!</v>
      </c>
      <c r="R29" s="122" t="str">
        <f>[1]!hecalc(5,0,1,E29*100000,2,M29,1)</f>
        <v>NUM</v>
      </c>
      <c r="S29" s="74" t="str">
        <f>[1]!hecalc(9,0,1,E29*100000,2,M29,1)</f>
        <v>NUM</v>
      </c>
      <c r="T29" s="74" t="str">
        <f>[1]!hecalc(9,0,1,G29*100000,2,N29,1)</f>
        <v>NUM</v>
      </c>
      <c r="U29" s="74" t="str">
        <f>[1]!hecalc(8,0,1,E29*100000,2,M29,1)</f>
        <v>NUM</v>
      </c>
      <c r="V29" s="74" t="e">
        <f>[1]!hecalc(9,0,1,G29*100000,8,U29,1)</f>
        <v>#VALUE!</v>
      </c>
      <c r="W29" s="74" t="e">
        <f t="shared" ref="W29:W35" si="93">S29-T29</f>
        <v>#VALUE!</v>
      </c>
      <c r="X29" s="74" t="e">
        <f t="shared" ref="X29:X35" si="94">S29-V29</f>
        <v>#VALUE!</v>
      </c>
      <c r="Y29" s="27" t="e">
        <f t="shared" ref="Y29:Y35" si="95">W29/X29</f>
        <v>#VALUE!</v>
      </c>
      <c r="Z29" s="75" t="e">
        <f t="shared" ref="Z29:Z35" si="96">Q29*(W29/1000)/1000</f>
        <v>#VALUE!</v>
      </c>
      <c r="AA29" s="76">
        <f t="shared" ref="AA29:AA35" si="97">PI()*(D_roueT2/1000)*P29</f>
        <v>0</v>
      </c>
      <c r="AB29" s="75" t="e">
        <f t="shared" ref="AB29:AB35" si="98">SQRT(2*X29)</f>
        <v>#VALUE!</v>
      </c>
      <c r="AC29" s="75" t="e">
        <f t="shared" ref="AC29:AC35" si="99">AA29/AB29</f>
        <v>#VALUE!</v>
      </c>
      <c r="AD29" s="75" t="e">
        <f t="shared" ref="AD29:AD35" si="100">LN((H29)/(G29))/LN((E29)/(G29))</f>
        <v>#DIV/0!</v>
      </c>
      <c r="AE29" s="74" t="str">
        <f>[1]!hecalc(14,0,1,E29*100000,2,M29,1)</f>
        <v>NUM</v>
      </c>
      <c r="AF29" s="74" t="str">
        <f>[1]!hecalc(15,0,1,E29*100000,2,M29,1)</f>
        <v>NUM</v>
      </c>
      <c r="AG29" s="64" t="str">
        <f>[1]!hecalc(3,0,1,E29*100000,2,M29,1)</f>
        <v>NUM</v>
      </c>
      <c r="AH29" s="26" t="e">
        <f t="shared" ref="AH29:AH35" si="101">Z29*1000/(L29*P29^3)</f>
        <v>#VALUE!</v>
      </c>
      <c r="AI29" s="82"/>
      <c r="AJ29" s="55">
        <f t="shared" si="9"/>
        <v>1.3</v>
      </c>
      <c r="AK29" s="55">
        <f t="shared" ref="AK29:AK35" si="102">AJ29/U1C0_thT2</f>
        <v>2.0990271646789984</v>
      </c>
      <c r="AL29" s="42">
        <f t="shared" ref="AL29:AL35" si="103">(0.321*AK29^4-1.6098*AK29^3+1.316*AK29^2+0.9448*AK29)*(Rendement_thT2/0.97)</f>
        <v>-0.72103282405365099</v>
      </c>
    </row>
    <row r="30" spans="1:38" s="50" customFormat="1">
      <c r="A30" s="79">
        <f>'T1'!A30</f>
        <v>0</v>
      </c>
      <c r="B30" s="78">
        <f>'T1'!B30</f>
        <v>0</v>
      </c>
      <c r="C30" s="80">
        <f>'T1'!C30</f>
        <v>0</v>
      </c>
      <c r="D30" s="43" t="s">
        <v>93</v>
      </c>
      <c r="E30" s="106">
        <f>'T1'!G30</f>
        <v>0</v>
      </c>
      <c r="F30" s="70" t="e">
        <f t="shared" si="88"/>
        <v>#VALUE!</v>
      </c>
      <c r="G30" s="69"/>
      <c r="H30" s="69"/>
      <c r="I30" s="64" t="e">
        <f t="shared" si="89"/>
        <v>#DIV/0!</v>
      </c>
      <c r="J30" s="23" t="e">
        <f t="shared" si="90"/>
        <v>#DIV/0!</v>
      </c>
      <c r="K30" s="69"/>
      <c r="L30" s="69"/>
      <c r="M30" s="69"/>
      <c r="N30" s="71"/>
      <c r="O30" s="55">
        <f t="shared" si="91"/>
        <v>0</v>
      </c>
      <c r="P30" s="72"/>
      <c r="Q30" s="81" t="e">
        <f t="shared" si="92"/>
        <v>#VALUE!</v>
      </c>
      <c r="R30" s="122" t="str">
        <f>[1]!hecalc(5,0,1,E30*100000,2,M30,1)</f>
        <v>NUM</v>
      </c>
      <c r="S30" s="74" t="str">
        <f>[1]!hecalc(9,0,1,E30*100000,2,M30,1)</f>
        <v>NUM</v>
      </c>
      <c r="T30" s="74" t="str">
        <f>[1]!hecalc(9,0,1,G30*100000,2,N30,1)</f>
        <v>NUM</v>
      </c>
      <c r="U30" s="74" t="str">
        <f>[1]!hecalc(8,0,1,E30*100000,2,M30,1)</f>
        <v>NUM</v>
      </c>
      <c r="V30" s="74" t="e">
        <f>[1]!hecalc(9,0,1,G30*100000,8,U30,1)</f>
        <v>#VALUE!</v>
      </c>
      <c r="W30" s="74" t="e">
        <f t="shared" si="93"/>
        <v>#VALUE!</v>
      </c>
      <c r="X30" s="74" t="e">
        <f t="shared" si="94"/>
        <v>#VALUE!</v>
      </c>
      <c r="Y30" s="27" t="e">
        <f t="shared" si="95"/>
        <v>#VALUE!</v>
      </c>
      <c r="Z30" s="75" t="e">
        <f t="shared" si="96"/>
        <v>#VALUE!</v>
      </c>
      <c r="AA30" s="76">
        <f t="shared" si="97"/>
        <v>0</v>
      </c>
      <c r="AB30" s="75" t="e">
        <f t="shared" si="98"/>
        <v>#VALUE!</v>
      </c>
      <c r="AC30" s="75" t="e">
        <f t="shared" si="99"/>
        <v>#VALUE!</v>
      </c>
      <c r="AD30" s="75" t="e">
        <f t="shared" si="100"/>
        <v>#DIV/0!</v>
      </c>
      <c r="AE30" s="74" t="str">
        <f>[1]!hecalc(14,0,1,E30*100000,2,M30,1)</f>
        <v>NUM</v>
      </c>
      <c r="AF30" s="74" t="str">
        <f>[1]!hecalc(15,0,1,E30*100000,2,M30,1)</f>
        <v>NUM</v>
      </c>
      <c r="AG30" s="64" t="str">
        <f>[1]!hecalc(3,0,1,E30*100000,2,M30,1)</f>
        <v>NUM</v>
      </c>
      <c r="AH30" s="26" t="e">
        <f t="shared" si="101"/>
        <v>#VALUE!</v>
      </c>
      <c r="AI30" s="82"/>
      <c r="AJ30" s="55">
        <f t="shared" si="9"/>
        <v>1.4000000000000001</v>
      </c>
      <c r="AK30" s="55">
        <f t="shared" si="102"/>
        <v>2.260490792731229</v>
      </c>
      <c r="AL30" s="42">
        <f t="shared" si="103"/>
        <v>-1.1146389586927676</v>
      </c>
    </row>
    <row r="31" spans="1:38" s="50" customFormat="1">
      <c r="A31" s="79">
        <f>'T1'!A31</f>
        <v>0</v>
      </c>
      <c r="B31" s="78">
        <f>'T1'!B31</f>
        <v>0</v>
      </c>
      <c r="C31" s="80">
        <f>'T1'!C31</f>
        <v>0</v>
      </c>
      <c r="D31" s="43" t="s">
        <v>93</v>
      </c>
      <c r="E31" s="106">
        <f>'T1'!G31</f>
        <v>0</v>
      </c>
      <c r="F31" s="70" t="e">
        <f t="shared" si="88"/>
        <v>#VALUE!</v>
      </c>
      <c r="G31" s="69"/>
      <c r="H31" s="69"/>
      <c r="I31" s="64" t="e">
        <f t="shared" si="89"/>
        <v>#DIV/0!</v>
      </c>
      <c r="J31" s="23" t="e">
        <f t="shared" si="90"/>
        <v>#DIV/0!</v>
      </c>
      <c r="K31" s="69"/>
      <c r="L31" s="69"/>
      <c r="M31" s="69"/>
      <c r="N31" s="71"/>
      <c r="O31" s="55">
        <f t="shared" si="91"/>
        <v>0</v>
      </c>
      <c r="P31" s="72"/>
      <c r="Q31" s="81" t="e">
        <f t="shared" si="92"/>
        <v>#VALUE!</v>
      </c>
      <c r="R31" s="122" t="str">
        <f>[1]!hecalc(5,0,1,E31*100000,2,M31,1)</f>
        <v>NUM</v>
      </c>
      <c r="S31" s="74" t="str">
        <f>[1]!hecalc(9,0,1,E31*100000,2,M31,1)</f>
        <v>NUM</v>
      </c>
      <c r="T31" s="74" t="str">
        <f>[1]!hecalc(9,0,1,G31*100000,2,N31,1)</f>
        <v>NUM</v>
      </c>
      <c r="U31" s="74" t="str">
        <f>[1]!hecalc(8,0,1,E31*100000,2,M31,1)</f>
        <v>NUM</v>
      </c>
      <c r="V31" s="74" t="e">
        <f>[1]!hecalc(9,0,1,G31*100000,8,U31,1)</f>
        <v>#VALUE!</v>
      </c>
      <c r="W31" s="74" t="e">
        <f t="shared" si="93"/>
        <v>#VALUE!</v>
      </c>
      <c r="X31" s="74" t="e">
        <f t="shared" si="94"/>
        <v>#VALUE!</v>
      </c>
      <c r="Y31" s="27" t="e">
        <f t="shared" si="95"/>
        <v>#VALUE!</v>
      </c>
      <c r="Z31" s="75" t="e">
        <f t="shared" si="96"/>
        <v>#VALUE!</v>
      </c>
      <c r="AA31" s="76">
        <f t="shared" si="97"/>
        <v>0</v>
      </c>
      <c r="AB31" s="75" t="e">
        <f t="shared" si="98"/>
        <v>#VALUE!</v>
      </c>
      <c r="AC31" s="75" t="e">
        <f t="shared" si="99"/>
        <v>#VALUE!</v>
      </c>
      <c r="AD31" s="75" t="e">
        <f t="shared" si="100"/>
        <v>#DIV/0!</v>
      </c>
      <c r="AE31" s="74" t="str">
        <f>[1]!hecalc(14,0,1,E31*100000,2,M31,1)</f>
        <v>NUM</v>
      </c>
      <c r="AF31" s="74" t="str">
        <f>[1]!hecalc(15,0,1,E31*100000,2,M31,1)</f>
        <v>NUM</v>
      </c>
      <c r="AG31" s="64" t="str">
        <f>[1]!hecalc(3,0,1,E31*100000,2,M31,1)</f>
        <v>NUM</v>
      </c>
      <c r="AH31" s="26" t="e">
        <f t="shared" si="101"/>
        <v>#VALUE!</v>
      </c>
      <c r="AI31" s="82"/>
      <c r="AJ31" s="55">
        <f t="shared" si="9"/>
        <v>1.5000000000000002</v>
      </c>
      <c r="AK31" s="55">
        <f t="shared" si="102"/>
        <v>2.4219544207834596</v>
      </c>
      <c r="AL31" s="42">
        <f t="shared" si="103"/>
        <v>-1.497544011236231</v>
      </c>
    </row>
    <row r="32" spans="1:38" s="50" customFormat="1">
      <c r="A32" s="79">
        <f>'T1'!A32</f>
        <v>0</v>
      </c>
      <c r="B32" s="78">
        <f>'T1'!B32</f>
        <v>0</v>
      </c>
      <c r="C32" s="80">
        <f>'T1'!C32</f>
        <v>0</v>
      </c>
      <c r="D32" s="43" t="s">
        <v>93</v>
      </c>
      <c r="E32" s="106">
        <f>'T1'!G32</f>
        <v>0</v>
      </c>
      <c r="F32" s="70" t="e">
        <f t="shared" si="88"/>
        <v>#VALUE!</v>
      </c>
      <c r="G32" s="69"/>
      <c r="H32" s="69"/>
      <c r="I32" s="64" t="e">
        <f t="shared" si="89"/>
        <v>#DIV/0!</v>
      </c>
      <c r="J32" s="23" t="e">
        <f t="shared" si="90"/>
        <v>#DIV/0!</v>
      </c>
      <c r="K32" s="69"/>
      <c r="L32" s="69"/>
      <c r="M32" s="69"/>
      <c r="N32" s="71"/>
      <c r="O32" s="55">
        <f t="shared" si="91"/>
        <v>0</v>
      </c>
      <c r="P32" s="72"/>
      <c r="Q32" s="81" t="e">
        <f t="shared" si="92"/>
        <v>#VALUE!</v>
      </c>
      <c r="R32" s="122" t="str">
        <f>[1]!hecalc(5,0,1,E32*100000,2,M32,1)</f>
        <v>NUM</v>
      </c>
      <c r="S32" s="74" t="str">
        <f>[1]!hecalc(9,0,1,E32*100000,2,M32,1)</f>
        <v>NUM</v>
      </c>
      <c r="T32" s="74" t="str">
        <f>[1]!hecalc(9,0,1,G32*100000,2,N32,1)</f>
        <v>NUM</v>
      </c>
      <c r="U32" s="74" t="str">
        <f>[1]!hecalc(8,0,1,E32*100000,2,M32,1)</f>
        <v>NUM</v>
      </c>
      <c r="V32" s="74" t="e">
        <f>[1]!hecalc(9,0,1,G32*100000,8,U32,1)</f>
        <v>#VALUE!</v>
      </c>
      <c r="W32" s="74" t="e">
        <f t="shared" si="93"/>
        <v>#VALUE!</v>
      </c>
      <c r="X32" s="74" t="e">
        <f t="shared" si="94"/>
        <v>#VALUE!</v>
      </c>
      <c r="Y32" s="27" t="e">
        <f t="shared" si="95"/>
        <v>#VALUE!</v>
      </c>
      <c r="Z32" s="75" t="e">
        <f t="shared" si="96"/>
        <v>#VALUE!</v>
      </c>
      <c r="AA32" s="76">
        <f t="shared" si="97"/>
        <v>0</v>
      </c>
      <c r="AB32" s="75" t="e">
        <f t="shared" si="98"/>
        <v>#VALUE!</v>
      </c>
      <c r="AC32" s="75" t="e">
        <f t="shared" si="99"/>
        <v>#VALUE!</v>
      </c>
      <c r="AD32" s="75" t="e">
        <f t="shared" si="100"/>
        <v>#DIV/0!</v>
      </c>
      <c r="AE32" s="74" t="str">
        <f>[1]!hecalc(14,0,1,E32*100000,2,M32,1)</f>
        <v>NUM</v>
      </c>
      <c r="AF32" s="74" t="str">
        <f>[1]!hecalc(15,0,1,E32*100000,2,M32,1)</f>
        <v>NUM</v>
      </c>
      <c r="AG32" s="64" t="str">
        <f>[1]!hecalc(3,0,1,E32*100000,2,M32,1)</f>
        <v>NUM</v>
      </c>
      <c r="AH32" s="26" t="e">
        <f t="shared" si="101"/>
        <v>#VALUE!</v>
      </c>
      <c r="AI32" s="82"/>
      <c r="AJ32" s="55">
        <f t="shared" si="9"/>
        <v>1.6000000000000003</v>
      </c>
      <c r="AK32" s="55">
        <f t="shared" si="102"/>
        <v>2.5834180488356906</v>
      </c>
      <c r="AL32" s="42">
        <f t="shared" si="103"/>
        <v>-1.8406877646605977</v>
      </c>
    </row>
    <row r="33" spans="1:38" s="50" customFormat="1">
      <c r="A33" s="79">
        <f>'T1'!A33</f>
        <v>0</v>
      </c>
      <c r="B33" s="78">
        <f>'T1'!B33</f>
        <v>0</v>
      </c>
      <c r="C33" s="80">
        <f>'T1'!C33</f>
        <v>0</v>
      </c>
      <c r="D33" s="43" t="s">
        <v>93</v>
      </c>
      <c r="E33" s="106">
        <f>'T1'!G33</f>
        <v>0</v>
      </c>
      <c r="F33" s="70" t="e">
        <f t="shared" si="88"/>
        <v>#VALUE!</v>
      </c>
      <c r="G33" s="69"/>
      <c r="H33" s="69"/>
      <c r="I33" s="64" t="e">
        <f t="shared" si="89"/>
        <v>#DIV/0!</v>
      </c>
      <c r="J33" s="23" t="e">
        <f t="shared" si="90"/>
        <v>#DIV/0!</v>
      </c>
      <c r="K33" s="69"/>
      <c r="L33" s="69"/>
      <c r="M33" s="69"/>
      <c r="N33" s="71"/>
      <c r="O33" s="55">
        <f t="shared" si="91"/>
        <v>0</v>
      </c>
      <c r="P33" s="72"/>
      <c r="Q33" s="81" t="e">
        <f t="shared" si="92"/>
        <v>#VALUE!</v>
      </c>
      <c r="R33" s="122" t="str">
        <f>[1]!hecalc(5,0,1,E33*100000,2,M33,1)</f>
        <v>NUM</v>
      </c>
      <c r="S33" s="74" t="str">
        <f>[1]!hecalc(9,0,1,E33*100000,2,M33,1)</f>
        <v>NUM</v>
      </c>
      <c r="T33" s="74" t="str">
        <f>[1]!hecalc(9,0,1,G33*100000,2,N33,1)</f>
        <v>NUM</v>
      </c>
      <c r="U33" s="74" t="str">
        <f>[1]!hecalc(8,0,1,E33*100000,2,M33,1)</f>
        <v>NUM</v>
      </c>
      <c r="V33" s="74" t="e">
        <f>[1]!hecalc(9,0,1,G33*100000,8,U33,1)</f>
        <v>#VALUE!</v>
      </c>
      <c r="W33" s="74" t="e">
        <f t="shared" si="93"/>
        <v>#VALUE!</v>
      </c>
      <c r="X33" s="74" t="e">
        <f t="shared" si="94"/>
        <v>#VALUE!</v>
      </c>
      <c r="Y33" s="27" t="e">
        <f t="shared" si="95"/>
        <v>#VALUE!</v>
      </c>
      <c r="Z33" s="75" t="e">
        <f t="shared" si="96"/>
        <v>#VALUE!</v>
      </c>
      <c r="AA33" s="76">
        <f t="shared" si="97"/>
        <v>0</v>
      </c>
      <c r="AB33" s="75" t="e">
        <f t="shared" si="98"/>
        <v>#VALUE!</v>
      </c>
      <c r="AC33" s="75" t="e">
        <f t="shared" si="99"/>
        <v>#VALUE!</v>
      </c>
      <c r="AD33" s="75" t="e">
        <f t="shared" si="100"/>
        <v>#DIV/0!</v>
      </c>
      <c r="AE33" s="74" t="str">
        <f>[1]!hecalc(14,0,1,E33*100000,2,M33,1)</f>
        <v>NUM</v>
      </c>
      <c r="AF33" s="74" t="str">
        <f>[1]!hecalc(15,0,1,E33*100000,2,M33,1)</f>
        <v>NUM</v>
      </c>
      <c r="AG33" s="64" t="str">
        <f>[1]!hecalc(3,0,1,E33*100000,2,M33,1)</f>
        <v>NUM</v>
      </c>
      <c r="AH33" s="26" t="e">
        <f t="shared" si="101"/>
        <v>#VALUE!</v>
      </c>
      <c r="AI33" s="82"/>
      <c r="AJ33" s="55">
        <f t="shared" si="9"/>
        <v>1.7000000000000004</v>
      </c>
      <c r="AK33" s="55">
        <f t="shared" si="102"/>
        <v>2.7448816768879212</v>
      </c>
      <c r="AL33" s="42">
        <f t="shared" si="103"/>
        <v>-2.1106953023002797</v>
      </c>
    </row>
    <row r="34" spans="1:38" s="50" customFormat="1">
      <c r="A34" s="79">
        <f>'T1'!A34</f>
        <v>0</v>
      </c>
      <c r="B34" s="78">
        <f>'T1'!B34</f>
        <v>0</v>
      </c>
      <c r="C34" s="80">
        <f>'T1'!C34</f>
        <v>0</v>
      </c>
      <c r="D34" s="43" t="s">
        <v>93</v>
      </c>
      <c r="E34" s="106">
        <f>'T1'!G34</f>
        <v>0</v>
      </c>
      <c r="F34" s="70" t="e">
        <f t="shared" si="88"/>
        <v>#VALUE!</v>
      </c>
      <c r="G34" s="69"/>
      <c r="H34" s="69"/>
      <c r="I34" s="64" t="e">
        <f t="shared" si="89"/>
        <v>#DIV/0!</v>
      </c>
      <c r="J34" s="23" t="e">
        <f t="shared" si="90"/>
        <v>#DIV/0!</v>
      </c>
      <c r="K34" s="69"/>
      <c r="L34" s="69"/>
      <c r="M34" s="69"/>
      <c r="N34" s="71"/>
      <c r="O34" s="55">
        <f t="shared" si="91"/>
        <v>0</v>
      </c>
      <c r="P34" s="72"/>
      <c r="Q34" s="81" t="e">
        <f t="shared" si="92"/>
        <v>#VALUE!</v>
      </c>
      <c r="R34" s="122" t="str">
        <f>[1]!hecalc(5,0,1,E34*100000,2,M34,1)</f>
        <v>NUM</v>
      </c>
      <c r="S34" s="74" t="str">
        <f>[1]!hecalc(9,0,1,E34*100000,2,M34,1)</f>
        <v>NUM</v>
      </c>
      <c r="T34" s="74" t="str">
        <f>[1]!hecalc(9,0,1,G34*100000,2,N34,1)</f>
        <v>NUM</v>
      </c>
      <c r="U34" s="74" t="str">
        <f>[1]!hecalc(8,0,1,E34*100000,2,M34,1)</f>
        <v>NUM</v>
      </c>
      <c r="V34" s="74" t="e">
        <f>[1]!hecalc(9,0,1,G34*100000,8,U34,1)</f>
        <v>#VALUE!</v>
      </c>
      <c r="W34" s="74" t="e">
        <f t="shared" si="93"/>
        <v>#VALUE!</v>
      </c>
      <c r="X34" s="74" t="e">
        <f t="shared" si="94"/>
        <v>#VALUE!</v>
      </c>
      <c r="Y34" s="27" t="e">
        <f t="shared" si="95"/>
        <v>#VALUE!</v>
      </c>
      <c r="Z34" s="75" t="e">
        <f t="shared" si="96"/>
        <v>#VALUE!</v>
      </c>
      <c r="AA34" s="76">
        <f t="shared" si="97"/>
        <v>0</v>
      </c>
      <c r="AB34" s="75" t="e">
        <f t="shared" si="98"/>
        <v>#VALUE!</v>
      </c>
      <c r="AC34" s="75" t="e">
        <f t="shared" si="99"/>
        <v>#VALUE!</v>
      </c>
      <c r="AD34" s="75" t="e">
        <f t="shared" si="100"/>
        <v>#DIV/0!</v>
      </c>
      <c r="AE34" s="74" t="str">
        <f>[1]!hecalc(14,0,1,E34*100000,2,M34,1)</f>
        <v>NUM</v>
      </c>
      <c r="AF34" s="74" t="str">
        <f>[1]!hecalc(15,0,1,E34*100000,2,M34,1)</f>
        <v>NUM</v>
      </c>
      <c r="AG34" s="64" t="str">
        <f>[1]!hecalc(3,0,1,E34*100000,2,M34,1)</f>
        <v>NUM</v>
      </c>
      <c r="AH34" s="26" t="e">
        <f t="shared" si="101"/>
        <v>#VALUE!</v>
      </c>
      <c r="AI34" s="82"/>
      <c r="AJ34" s="55">
        <f t="shared" si="9"/>
        <v>1.8000000000000005</v>
      </c>
      <c r="AK34" s="55">
        <f t="shared" si="102"/>
        <v>2.9063453049401522</v>
      </c>
      <c r="AL34" s="42">
        <f t="shared" si="103"/>
        <v>-2.2698770078475343</v>
      </c>
    </row>
    <row r="35" spans="1:38" s="50" customFormat="1">
      <c r="A35" s="79">
        <f>'T1'!A35</f>
        <v>0</v>
      </c>
      <c r="B35" s="78">
        <f>'T1'!B35</f>
        <v>0</v>
      </c>
      <c r="C35" s="80">
        <f>'T1'!C35</f>
        <v>0</v>
      </c>
      <c r="D35" s="43" t="s">
        <v>93</v>
      </c>
      <c r="E35" s="106">
        <f>'T1'!G35</f>
        <v>0</v>
      </c>
      <c r="F35" s="70" t="e">
        <f t="shared" si="88"/>
        <v>#VALUE!</v>
      </c>
      <c r="G35" s="69"/>
      <c r="H35" s="69"/>
      <c r="I35" s="64" t="e">
        <f t="shared" si="89"/>
        <v>#DIV/0!</v>
      </c>
      <c r="J35" s="23" t="e">
        <f t="shared" si="90"/>
        <v>#DIV/0!</v>
      </c>
      <c r="K35" s="69"/>
      <c r="L35" s="69"/>
      <c r="M35" s="69"/>
      <c r="N35" s="71"/>
      <c r="O35" s="55">
        <f t="shared" si="91"/>
        <v>0</v>
      </c>
      <c r="P35" s="72"/>
      <c r="Q35" s="81" t="e">
        <f t="shared" si="92"/>
        <v>#VALUE!</v>
      </c>
      <c r="R35" s="122" t="str">
        <f>[1]!hecalc(5,0,1,E35*100000,2,M35,1)</f>
        <v>NUM</v>
      </c>
      <c r="S35" s="74" t="str">
        <f>[1]!hecalc(9,0,1,E35*100000,2,M35,1)</f>
        <v>NUM</v>
      </c>
      <c r="T35" s="74" t="str">
        <f>[1]!hecalc(9,0,1,G35*100000,2,N35,1)</f>
        <v>NUM</v>
      </c>
      <c r="U35" s="74" t="str">
        <f>[1]!hecalc(8,0,1,E35*100000,2,M35,1)</f>
        <v>NUM</v>
      </c>
      <c r="V35" s="74" t="e">
        <f>[1]!hecalc(9,0,1,G35*100000,8,U35,1)</f>
        <v>#VALUE!</v>
      </c>
      <c r="W35" s="74" t="e">
        <f t="shared" si="93"/>
        <v>#VALUE!</v>
      </c>
      <c r="X35" s="74" t="e">
        <f t="shared" si="94"/>
        <v>#VALUE!</v>
      </c>
      <c r="Y35" s="27" t="e">
        <f t="shared" si="95"/>
        <v>#VALUE!</v>
      </c>
      <c r="Z35" s="75" t="e">
        <f t="shared" si="96"/>
        <v>#VALUE!</v>
      </c>
      <c r="AA35" s="76">
        <f t="shared" si="97"/>
        <v>0</v>
      </c>
      <c r="AB35" s="75" t="e">
        <f t="shared" si="98"/>
        <v>#VALUE!</v>
      </c>
      <c r="AC35" s="75" t="e">
        <f t="shared" si="99"/>
        <v>#VALUE!</v>
      </c>
      <c r="AD35" s="75" t="e">
        <f t="shared" si="100"/>
        <v>#DIV/0!</v>
      </c>
      <c r="AE35" s="74" t="str">
        <f>[1]!hecalc(14,0,1,E35*100000,2,M35,1)</f>
        <v>NUM</v>
      </c>
      <c r="AF35" s="74" t="str">
        <f>[1]!hecalc(15,0,1,E35*100000,2,M35,1)</f>
        <v>NUM</v>
      </c>
      <c r="AG35" s="64" t="str">
        <f>[1]!hecalc(3,0,1,E35*100000,2,M35,1)</f>
        <v>NUM</v>
      </c>
      <c r="AH35" s="26" t="e">
        <f t="shared" si="101"/>
        <v>#VALUE!</v>
      </c>
      <c r="AI35" s="82"/>
      <c r="AJ35" s="55">
        <f t="shared" si="9"/>
        <v>1.9000000000000006</v>
      </c>
      <c r="AK35" s="55">
        <f t="shared" si="102"/>
        <v>3.0678089329923828</v>
      </c>
      <c r="AL35" s="42">
        <f t="shared" si="103"/>
        <v>-2.2762285653524739</v>
      </c>
    </row>
  </sheetData>
  <mergeCells count="1">
    <mergeCell ref="A5:C5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AP38"/>
  <sheetViews>
    <sheetView tabSelected="1" topLeftCell="A13" workbookViewId="0">
      <selection activeCell="J25" sqref="J25"/>
    </sheetView>
  </sheetViews>
  <sheetFormatPr baseColWidth="10" defaultRowHeight="12.75"/>
  <cols>
    <col min="1" max="1" width="18.42578125" style="85" customWidth="1"/>
    <col min="2" max="2" width="10.140625" style="85" bestFit="1" customWidth="1"/>
    <col min="3" max="3" width="8.140625" style="85" customWidth="1"/>
    <col min="4" max="4" width="6.5703125" style="85" bestFit="1" customWidth="1"/>
    <col min="5" max="5" width="8.85546875" style="85" bestFit="1" customWidth="1"/>
    <col min="6" max="6" width="11.42578125" style="85" bestFit="1" customWidth="1"/>
    <col min="7" max="7" width="15.85546875" style="85" bestFit="1" customWidth="1"/>
    <col min="8" max="8" width="7.7109375" style="85" bestFit="1" customWidth="1"/>
    <col min="9" max="9" width="7.7109375" style="85" customWidth="1"/>
    <col min="10" max="10" width="8.5703125" style="85" bestFit="1" customWidth="1"/>
    <col min="11" max="11" width="11.140625" style="85" bestFit="1" customWidth="1"/>
    <col min="12" max="12" width="10.28515625" style="85" customWidth="1"/>
    <col min="13" max="13" width="6.7109375" style="85" bestFit="1" customWidth="1"/>
    <col min="14" max="14" width="6.42578125" style="85" bestFit="1" customWidth="1"/>
    <col min="15" max="15" width="6.85546875" style="85" bestFit="1" customWidth="1"/>
    <col min="16" max="16" width="6.5703125" style="85" bestFit="1" customWidth="1"/>
    <col min="17" max="17" width="6.7109375" style="85" bestFit="1" customWidth="1"/>
    <col min="18" max="18" width="6.42578125" style="85" bestFit="1" customWidth="1"/>
    <col min="19" max="19" width="6.85546875" style="85" bestFit="1" customWidth="1"/>
    <col min="20" max="20" width="8.28515625" style="85" bestFit="1" customWidth="1"/>
    <col min="21" max="21" width="10.7109375" style="85" bestFit="1" customWidth="1"/>
    <col min="22" max="22" width="10.5703125" style="85" bestFit="1" customWidth="1"/>
    <col min="23" max="23" width="11.42578125" style="85"/>
    <col min="24" max="24" width="8.28515625" style="85" bestFit="1" customWidth="1"/>
    <col min="25" max="25" width="17.5703125" style="85" customWidth="1"/>
    <col min="26" max="26" width="8.5703125" style="85" bestFit="1" customWidth="1"/>
    <col min="27" max="27" width="10.140625" style="85" bestFit="1" customWidth="1"/>
    <col min="28" max="28" width="6.5703125" style="85" bestFit="1" customWidth="1"/>
    <col min="29" max="29" width="7.85546875" style="85" bestFit="1" customWidth="1"/>
    <col min="30" max="30" width="8.5703125" style="85" bestFit="1" customWidth="1"/>
    <col min="31" max="31" width="9.5703125" style="85" bestFit="1" customWidth="1"/>
    <col min="32" max="32" width="8.85546875" style="85" bestFit="1" customWidth="1"/>
    <col min="33" max="33" width="6" style="85" bestFit="1" customWidth="1"/>
    <col min="34" max="34" width="8.85546875" style="85" bestFit="1" customWidth="1"/>
    <col min="35" max="35" width="11.42578125" style="85"/>
    <col min="36" max="36" width="15.85546875" style="85" bestFit="1" customWidth="1"/>
    <col min="37" max="38" width="5.5703125" style="85" bestFit="1" customWidth="1"/>
    <col min="39" max="39" width="7.85546875" style="85" bestFit="1" customWidth="1"/>
    <col min="40" max="40" width="7.7109375" style="85" bestFit="1" customWidth="1"/>
    <col min="41" max="41" width="7.85546875" style="85" bestFit="1" customWidth="1"/>
    <col min="42" max="42" width="8.5703125" style="85" bestFit="1" customWidth="1"/>
    <col min="43" max="16384" width="11.42578125" style="85"/>
  </cols>
  <sheetData>
    <row r="1" spans="1:42" s="50" customFormat="1">
      <c r="A1" s="47" t="s">
        <v>51</v>
      </c>
      <c r="B1" s="53" t="str">
        <f>'T1'!B1</f>
        <v>LNCMI</v>
      </c>
      <c r="C1" s="49"/>
    </row>
    <row r="2" spans="1:42" s="50" customFormat="1">
      <c r="A2" s="47" t="s">
        <v>53</v>
      </c>
      <c r="B2" s="119" t="str">
        <f>'T1'!B2</f>
        <v>1001342</v>
      </c>
      <c r="C2" s="52"/>
    </row>
    <row r="3" spans="1:42" s="50" customFormat="1"/>
    <row r="4" spans="1:42" s="50" customFormat="1">
      <c r="A4" s="87" t="s">
        <v>57</v>
      </c>
      <c r="B4" s="86" t="s">
        <v>56</v>
      </c>
      <c r="C4" s="86" t="s">
        <v>100</v>
      </c>
      <c r="D4" s="54"/>
      <c r="E4" s="54"/>
      <c r="F4" s="54"/>
      <c r="G4" s="54"/>
      <c r="H4" s="54"/>
      <c r="I4" s="54"/>
    </row>
    <row r="5" spans="1:42" s="50" customFormat="1">
      <c r="A5" s="53" t="s">
        <v>101</v>
      </c>
      <c r="B5" s="63">
        <f>D_roueT1</f>
        <v>20</v>
      </c>
      <c r="C5" s="63">
        <f>'T2'!D_roueT2</f>
        <v>20</v>
      </c>
      <c r="G5" s="83" t="s">
        <v>123</v>
      </c>
      <c r="H5" s="118">
        <v>0.1</v>
      </c>
    </row>
    <row r="6" spans="1:42" s="50" customFormat="1">
      <c r="A6" s="53" t="s">
        <v>48</v>
      </c>
      <c r="B6" s="63">
        <f>Deg_reacT1</f>
        <v>0.5</v>
      </c>
      <c r="C6" s="63">
        <f>'T2'!Deg_reacT2</f>
        <v>0.5</v>
      </c>
      <c r="G6" s="83" t="s">
        <v>124</v>
      </c>
      <c r="H6" s="118">
        <v>1.17</v>
      </c>
    </row>
    <row r="7" spans="1:42" s="50" customFormat="1">
      <c r="A7" s="53" t="s">
        <v>75</v>
      </c>
      <c r="B7" s="64">
        <f>'T1'!B8</f>
        <v>17.284180123471902</v>
      </c>
      <c r="C7" s="64">
        <f>'T2'!B8</f>
        <v>26.52889926394786</v>
      </c>
    </row>
    <row r="8" spans="1:42" s="50" customFormat="1">
      <c r="A8" s="53" t="s">
        <v>76</v>
      </c>
      <c r="B8" s="64">
        <f>'T1'!B9</f>
        <v>18.799979591015237</v>
      </c>
      <c r="C8" s="64">
        <f>'T2'!B9</f>
        <v>27.356254238493797</v>
      </c>
    </row>
    <row r="9" spans="1:42" s="50" customFormat="1">
      <c r="A9" s="53" t="s">
        <v>102</v>
      </c>
      <c r="B9" s="88">
        <f>B7/B8</f>
        <v>0.91937228121950965</v>
      </c>
      <c r="C9" s="88">
        <f>C7/C8</f>
        <v>0.96975627703511613</v>
      </c>
      <c r="Q9" s="83"/>
      <c r="R9" s="83"/>
    </row>
    <row r="10" spans="1:42" s="50" customFormat="1" ht="38.25">
      <c r="A10" s="129" t="s">
        <v>86</v>
      </c>
      <c r="B10" s="130">
        <f>'T1'!B10</f>
        <v>0.06</v>
      </c>
      <c r="C10" s="130">
        <f>'T2'!B10</f>
        <v>0.03</v>
      </c>
      <c r="P10" s="107"/>
    </row>
    <row r="11" spans="1:42" s="50" customFormat="1">
      <c r="A11" s="53" t="s">
        <v>87</v>
      </c>
      <c r="B11" s="89">
        <f>B8*(1-B10)</f>
        <v>17.671980815554321</v>
      </c>
      <c r="C11" s="89">
        <f>C8*(1-C10)</f>
        <v>26.535566611338982</v>
      </c>
    </row>
    <row r="12" spans="1:42" s="50" customFormat="1">
      <c r="A12" s="53" t="s">
        <v>169</v>
      </c>
      <c r="B12" s="123">
        <f>U1C0_thT1</f>
        <v>0.6268448101549563</v>
      </c>
      <c r="C12" s="75">
        <f>'T2'!U1C0_thT2</f>
        <v>0.61933452881197348</v>
      </c>
      <c r="U12" s="115" t="s">
        <v>159</v>
      </c>
      <c r="Y12" s="116" t="s">
        <v>163</v>
      </c>
    </row>
    <row r="13" spans="1:42" s="50" customFormat="1">
      <c r="A13" s="128" t="s">
        <v>170</v>
      </c>
      <c r="B13" s="127">
        <f>Rendement_thT1</f>
        <v>0.7982660077485062</v>
      </c>
      <c r="C13" s="127">
        <f>'T2'!Rendement_thT2</f>
        <v>0.79929519429138729</v>
      </c>
      <c r="U13" s="54"/>
    </row>
    <row r="14" spans="1:42" s="50" customFormat="1">
      <c r="A14" s="58"/>
      <c r="B14" s="124"/>
      <c r="C14" s="84"/>
      <c r="U14" s="54"/>
    </row>
    <row r="15" spans="1:42" s="50" customFormat="1"/>
    <row r="16" spans="1:42" s="62" customFormat="1" ht="25.5">
      <c r="A16" s="60"/>
      <c r="B16" s="61" t="s">
        <v>60</v>
      </c>
      <c r="C16" s="61" t="s">
        <v>61</v>
      </c>
      <c r="D16" s="61" t="s">
        <v>111</v>
      </c>
      <c r="E16" s="61" t="s">
        <v>35</v>
      </c>
      <c r="F16" s="61" t="s">
        <v>168</v>
      </c>
      <c r="G16" s="61" t="s">
        <v>167</v>
      </c>
      <c r="H16" s="61" t="s">
        <v>125</v>
      </c>
      <c r="I16" s="61" t="s">
        <v>175</v>
      </c>
      <c r="J16" s="61" t="s">
        <v>176</v>
      </c>
      <c r="K16" s="61" t="s">
        <v>177</v>
      </c>
      <c r="L16" s="61" t="s">
        <v>178</v>
      </c>
      <c r="M16" s="61" t="s">
        <v>112</v>
      </c>
      <c r="N16" s="61" t="s">
        <v>113</v>
      </c>
      <c r="O16" s="61" t="s">
        <v>118</v>
      </c>
      <c r="P16" s="61" t="s">
        <v>114</v>
      </c>
      <c r="Q16" s="61" t="s">
        <v>115</v>
      </c>
      <c r="R16" s="61" t="s">
        <v>116</v>
      </c>
      <c r="S16" s="61" t="s">
        <v>117</v>
      </c>
      <c r="T16" s="61" t="s">
        <v>126</v>
      </c>
      <c r="U16" s="61" t="s">
        <v>119</v>
      </c>
      <c r="V16" s="61" t="s">
        <v>120</v>
      </c>
      <c r="W16" s="61" t="s">
        <v>121</v>
      </c>
      <c r="X16" s="61" t="s">
        <v>122</v>
      </c>
      <c r="Y16" s="61" t="s">
        <v>164</v>
      </c>
      <c r="Z16" s="61" t="s">
        <v>166</v>
      </c>
      <c r="AA16" s="61" t="s">
        <v>127</v>
      </c>
      <c r="AB16" s="61" t="s">
        <v>128</v>
      </c>
      <c r="AC16" s="61" t="s">
        <v>136</v>
      </c>
      <c r="AD16" s="61" t="s">
        <v>129</v>
      </c>
      <c r="AE16" s="61" t="s">
        <v>130</v>
      </c>
      <c r="AF16" s="61" t="s">
        <v>131</v>
      </c>
      <c r="AG16" s="61" t="s">
        <v>132</v>
      </c>
      <c r="AH16" s="61" t="s">
        <v>133</v>
      </c>
      <c r="AI16" s="61" t="s">
        <v>137</v>
      </c>
      <c r="AJ16" s="61" t="s">
        <v>167</v>
      </c>
      <c r="AK16" s="61" t="s">
        <v>177</v>
      </c>
      <c r="AL16" s="61" t="s">
        <v>179</v>
      </c>
      <c r="AM16" s="61" t="s">
        <v>160</v>
      </c>
      <c r="AN16" s="61" t="s">
        <v>161</v>
      </c>
      <c r="AO16" s="61" t="s">
        <v>162</v>
      </c>
      <c r="AP16" s="61" t="s">
        <v>140</v>
      </c>
    </row>
    <row r="17" spans="1:42" s="66" customFormat="1">
      <c r="A17" s="65"/>
      <c r="B17" s="65"/>
      <c r="C17" s="65"/>
      <c r="D17" s="65" t="s">
        <v>42</v>
      </c>
      <c r="E17" s="65" t="s">
        <v>56</v>
      </c>
      <c r="F17" s="65" t="s">
        <v>56</v>
      </c>
      <c r="G17" s="65" t="s">
        <v>56</v>
      </c>
      <c r="H17" s="65" t="s">
        <v>42</v>
      </c>
      <c r="I17" s="65" t="s">
        <v>42</v>
      </c>
      <c r="J17" s="65" t="s">
        <v>42</v>
      </c>
      <c r="K17" s="65" t="s">
        <v>41</v>
      </c>
      <c r="L17" s="65"/>
      <c r="M17" s="65" t="s">
        <v>43</v>
      </c>
      <c r="N17" s="65"/>
      <c r="O17" s="65" t="s">
        <v>40</v>
      </c>
      <c r="P17" s="65" t="s">
        <v>42</v>
      </c>
      <c r="Q17" s="65" t="s">
        <v>43</v>
      </c>
      <c r="R17" s="65" t="s">
        <v>40</v>
      </c>
      <c r="S17" s="65" t="s">
        <v>40</v>
      </c>
      <c r="T17" s="65" t="s">
        <v>40</v>
      </c>
      <c r="U17" s="65" t="s">
        <v>42</v>
      </c>
      <c r="V17" s="65"/>
      <c r="W17" s="65" t="s">
        <v>40</v>
      </c>
      <c r="X17" s="65" t="s">
        <v>40</v>
      </c>
      <c r="Y17" s="65"/>
      <c r="Z17" s="65" t="s">
        <v>42</v>
      </c>
      <c r="AA17" s="65" t="s">
        <v>34</v>
      </c>
      <c r="AB17" s="65" t="s">
        <v>81</v>
      </c>
      <c r="AC17" s="65" t="s">
        <v>43</v>
      </c>
      <c r="AD17" s="65" t="s">
        <v>134</v>
      </c>
      <c r="AE17" s="65" t="s">
        <v>135</v>
      </c>
      <c r="AF17" s="65" t="s">
        <v>135</v>
      </c>
      <c r="AG17" s="65" t="s">
        <v>81</v>
      </c>
      <c r="AH17" s="65"/>
      <c r="AI17" s="65" t="s">
        <v>100</v>
      </c>
      <c r="AJ17" s="65" t="s">
        <v>100</v>
      </c>
      <c r="AK17" s="65" t="s">
        <v>138</v>
      </c>
      <c r="AL17" s="65" t="s">
        <v>138</v>
      </c>
      <c r="AM17" s="65" t="s">
        <v>135</v>
      </c>
      <c r="AN17" s="65" t="s">
        <v>42</v>
      </c>
      <c r="AO17" s="65" t="s">
        <v>42</v>
      </c>
      <c r="AP17" s="65" t="s">
        <v>42</v>
      </c>
    </row>
    <row r="18" spans="1:42" s="50" customFormat="1">
      <c r="A18" s="103" t="str">
        <f>'T1'!A19</f>
        <v>Cas 1</v>
      </c>
      <c r="B18" s="104">
        <f>'T1'!B19</f>
        <v>42047</v>
      </c>
      <c r="C18" s="105">
        <f>'T1'!C19</f>
        <v>0.68958333333333333</v>
      </c>
      <c r="D18" s="106">
        <f>'T1'!N19</f>
        <v>40.46</v>
      </c>
      <c r="E18" s="106">
        <f>'T1'!AE19</f>
        <v>0.59994329205367314</v>
      </c>
      <c r="F18" s="106">
        <f>E18/$B$12</f>
        <v>0.95708424531004233</v>
      </c>
      <c r="G18" s="110">
        <f>(0.321*F18^4-1.6098*F18^3+1.316*F18^2+0.9448*F18)*($B$13/0.97)</f>
        <v>0.7964190280787371</v>
      </c>
      <c r="H18" s="106">
        <f>'T1'!O19</f>
        <v>32.82</v>
      </c>
      <c r="I18" s="132">
        <f>[1]!hecalc(2,0,1,'T1'!H19*100000,9,'T1'!U19-'Recalage Tout T2'!G18*'T1'!Z19,1)</f>
        <v>30.310418050863721</v>
      </c>
      <c r="J18" s="113">
        <f>I18-H18</f>
        <v>-2.5095819491362796</v>
      </c>
      <c r="K18" s="123">
        <f>G18*'T1'!Z19/1000*'Recalage Tout T2'!O18/1000</f>
        <v>2.0076693295760508</v>
      </c>
      <c r="L18" s="131">
        <f>(K18-'T1'!AB19)/'T1'!$AB$19</f>
        <v>0.32784414070314633</v>
      </c>
      <c r="M18" s="106">
        <f>'T1'!E19</f>
        <v>13.64</v>
      </c>
      <c r="N18" s="106">
        <f>'T1'!T19</f>
        <v>1.0363296282709189</v>
      </c>
      <c r="O18" s="106">
        <f>'T1'!S19</f>
        <v>37.225257035406372</v>
      </c>
      <c r="P18" s="106">
        <f>'T2'!M19</f>
        <v>19.989999999999998</v>
      </c>
      <c r="Q18" s="106">
        <f>'T2'!E19</f>
        <v>5.27</v>
      </c>
      <c r="R18" s="106">
        <f>'T2'!R19</f>
        <v>0.99910635915362744</v>
      </c>
      <c r="S18" s="106">
        <f>'T2'!Q19</f>
        <v>31.29152449270509</v>
      </c>
      <c r="T18" s="106">
        <f>O18-S18</f>
        <v>5.9337325427012821</v>
      </c>
      <c r="U18" s="114">
        <v>20.11081702467191</v>
      </c>
      <c r="V18" s="106">
        <f>[1]!hecalc(5,0,1,Q18*100000,2,U18,1)</f>
        <v>0.99948176997115468</v>
      </c>
      <c r="W18" s="106">
        <f>$C$11*Q18/SQRT(U18*V18)</f>
        <v>31.191530473179135</v>
      </c>
      <c r="X18" s="106">
        <f>S18-W18</f>
        <v>9.9994019525954769E-2</v>
      </c>
      <c r="Y18" s="117">
        <f>X18-$H$5</f>
        <v>-5.9804740452362726E-6</v>
      </c>
      <c r="Z18" s="113">
        <f>P18-U18</f>
        <v>-0.12081702467191135</v>
      </c>
      <c r="AA18" s="109">
        <f>'T2'!P19</f>
        <v>2593</v>
      </c>
      <c r="AB18" s="108">
        <f>PI()*$C$5/1000*AA18</f>
        <v>162.92299501516669</v>
      </c>
      <c r="AC18" s="106">
        <f>'T2'!G19</f>
        <v>1.28</v>
      </c>
      <c r="AD18" s="109">
        <f>[1]!hecalc(8,0,1,Q18*100000,2,U18,1)</f>
        <v>13993.21669938555</v>
      </c>
      <c r="AE18" s="109">
        <f>[1]!hecalc(9,0,1,Q18*100000,2,U18,1)</f>
        <v>117003.03838384111</v>
      </c>
      <c r="AF18" s="109">
        <f>AE18-[1]!hecalc(9,0,1,AC18*100000,8,AD18,1)</f>
        <v>44483.170391251071</v>
      </c>
      <c r="AG18" s="108">
        <f>SQRT(2*AF18)</f>
        <v>298.27225949206564</v>
      </c>
      <c r="AH18" s="106">
        <f>AB18/AG18</f>
        <v>0.5462224187144048</v>
      </c>
      <c r="AI18" s="106">
        <f>AH18/'T2'!U1C0_thT2</f>
        <v>0.88195053449092431</v>
      </c>
      <c r="AJ18" s="110">
        <f>(0.321*AI18^4-1.6098*AI18^3+1.316*AI18^2+0.9448*AI18)*('T2'!Rendement_thT2/0.97)</f>
        <v>0.78015336537326696</v>
      </c>
      <c r="AK18" s="109">
        <f>'T1'!AB19*1000</f>
        <v>1511.9766454765618</v>
      </c>
      <c r="AL18" s="109">
        <f>AJ18*AF18*W18/1000</f>
        <v>1082.4613627197675</v>
      </c>
      <c r="AM18" s="109">
        <f>AE18-AJ18*AF18</f>
        <v>82299.343300634122</v>
      </c>
      <c r="AN18" s="112">
        <f>[1]!hecalc(2,0,1,AC18*100000,9,AM18,1)</f>
        <v>13.185138774001087</v>
      </c>
      <c r="AO18" s="108">
        <f>'T2'!N19</f>
        <v>16.260000000000002</v>
      </c>
      <c r="AP18" s="113">
        <f>AN18-AO18</f>
        <v>-3.0748612259989141</v>
      </c>
    </row>
    <row r="19" spans="1:42" s="50" customFormat="1">
      <c r="A19" s="103" t="str">
        <f>'T1'!A20</f>
        <v>Cas 2</v>
      </c>
      <c r="B19" s="104">
        <f>'T1'!B20</f>
        <v>42047</v>
      </c>
      <c r="C19" s="105">
        <f>'T1'!C20</f>
        <v>0.7284722222222223</v>
      </c>
      <c r="D19" s="106">
        <f>'T1'!N20</f>
        <v>40.46</v>
      </c>
      <c r="E19" s="106">
        <f>'T1'!AE20</f>
        <v>0.6073163021811524</v>
      </c>
      <c r="F19" s="106">
        <f t="shared" ref="F19:F23" si="0">E19/$B$12</f>
        <v>0.96884634337328812</v>
      </c>
      <c r="G19" s="110">
        <f t="shared" ref="G19:G38" si="1">(0.321*F19^4-1.6098*F19^3+1.316*F19^2+0.9448*F19)*($B$13/0.97)</f>
        <v>0.79784735172973498</v>
      </c>
      <c r="H19" s="106">
        <f>'T1'!O20</f>
        <v>32.82</v>
      </c>
      <c r="I19" s="132">
        <f>[1]!hecalc(2,0,1,'T1'!H20*100000,9,'T1'!U20-'Recalage Tout T2'!G19*'T1'!Z20,1)</f>
        <v>30.254787299363741</v>
      </c>
      <c r="J19" s="113">
        <f>I19-H19</f>
        <v>-2.5652127006362591</v>
      </c>
      <c r="K19" s="123">
        <f>G19*'T1'!Z20/1000*'Recalage Tout T2'!O19/1000</f>
        <v>2.0811687130661478</v>
      </c>
      <c r="L19" s="131">
        <f>(K19-'T1'!AB20)/'T1'!$AB$19</f>
        <v>0.34544101840551783</v>
      </c>
      <c r="M19" s="106">
        <f>'T1'!E20</f>
        <v>14.06</v>
      </c>
      <c r="N19" s="106">
        <f>'T1'!T20</f>
        <v>1.0374761634658747</v>
      </c>
      <c r="O19" s="106">
        <f>'T1'!S20</f>
        <v>38.350280887523937</v>
      </c>
      <c r="P19" s="106">
        <f>'T2'!M20</f>
        <v>19.989999999999998</v>
      </c>
      <c r="Q19" s="106">
        <f>'T2'!E20</f>
        <v>5.41</v>
      </c>
      <c r="R19" s="106">
        <f>'T2'!R20</f>
        <v>0.99913854287991277</v>
      </c>
      <c r="S19" s="106">
        <f>'T2'!Q20</f>
        <v>32.122281022620619</v>
      </c>
      <c r="T19" s="106">
        <f t="shared" ref="T19:T22" si="2">O19-S19</f>
        <v>6.2279998649033175</v>
      </c>
      <c r="U19" s="114">
        <v>20.11</v>
      </c>
      <c r="V19" s="106">
        <f>[1]!hecalc(5,0,1,Q19*100000,2,U19,1)</f>
        <v>0.99952024156693708</v>
      </c>
      <c r="W19" s="106">
        <f t="shared" ref="W19:W22" si="3">$C$11*Q19/SQRT(U19*V19)</f>
        <v>32.020182180992016</v>
      </c>
      <c r="X19" s="106">
        <f t="shared" ref="X19:X22" si="4">S19-W19</f>
        <v>0.10209884162860305</v>
      </c>
      <c r="Y19" s="117">
        <f>X19-$H$5</f>
        <v>2.0988416286030487E-3</v>
      </c>
      <c r="Z19" s="113">
        <f t="shared" ref="Z19:Z22" si="5">P19-U19</f>
        <v>-0.12000000000000099</v>
      </c>
      <c r="AA19" s="109">
        <f>'T2'!P20</f>
        <v>2629</v>
      </c>
      <c r="AB19" s="108">
        <f t="shared" ref="AB19:AB23" si="6">PI()*$C$5/1000*AA19</f>
        <v>165.18494172575134</v>
      </c>
      <c r="AC19" s="106">
        <f>'T2'!G20</f>
        <v>1.3</v>
      </c>
      <c r="AD19" s="109">
        <f>[1]!hecalc(8,0,1,Q19*100000,2,U19,1)</f>
        <v>13935.15811143391</v>
      </c>
      <c r="AE19" s="109">
        <f>[1]!hecalc(9,0,1,Q19*100000,2,U19,1)</f>
        <v>116930.1718478793</v>
      </c>
      <c r="AF19" s="109">
        <f>AE19-[1]!hecalc(9,0,1,AC19*100000,8,AD19,1)</f>
        <v>44712.226275633817</v>
      </c>
      <c r="AG19" s="108">
        <f t="shared" ref="AG19:AG22" si="7">SQRT(2*AF19)</f>
        <v>299.03921574146028</v>
      </c>
      <c r="AH19" s="106">
        <f t="shared" ref="AH19:AH22" si="8">AB19/AG19</f>
        <v>0.552385550223503</v>
      </c>
      <c r="AI19" s="106">
        <f>AH19/'T2'!U1C0_thT2</f>
        <v>0.89190175022714446</v>
      </c>
      <c r="AJ19" s="110">
        <f>(0.321*AI19^4-1.6098*AI19^3+1.316*AI19^2+0.9448*AI19)*('T2'!Rendement_thT2/0.97)</f>
        <v>0.78323673122226301</v>
      </c>
      <c r="AK19" s="109">
        <f>'T1'!AB20*1000</f>
        <v>1558.8699608473657</v>
      </c>
      <c r="AL19" s="109">
        <f t="shared" ref="AL19:AL22" si="9">AJ19*AF19*W19/1000</f>
        <v>1121.3550397059341</v>
      </c>
      <c r="AM19" s="109">
        <f t="shared" ref="AM19:AM22" si="10">AE19-AJ19*AF19</f>
        <v>81909.913894081692</v>
      </c>
      <c r="AN19" s="112">
        <f>[1]!hecalc(2,0,1,AC19*100000,9,AM19,1)</f>
        <v>13.116763463490546</v>
      </c>
      <c r="AO19" s="108">
        <f>'T2'!N20</f>
        <v>16.260000000000002</v>
      </c>
      <c r="AP19" s="113">
        <f t="shared" ref="AP19:AP22" si="11">AN19-AO19</f>
        <v>-3.1432365365094554</v>
      </c>
    </row>
    <row r="20" spans="1:42" s="50" customFormat="1">
      <c r="A20" s="103" t="str">
        <f>'T1'!A21</f>
        <v>Cas 3</v>
      </c>
      <c r="B20" s="104">
        <f>'T1'!B21</f>
        <v>42047</v>
      </c>
      <c r="C20" s="105">
        <f>'T1'!C21</f>
        <v>0.79166666666666663</v>
      </c>
      <c r="D20" s="106">
        <f>'T1'!N21</f>
        <v>39.47</v>
      </c>
      <c r="E20" s="106">
        <f>'T1'!AE21</f>
        <v>0.61024031332330586</v>
      </c>
      <c r="F20" s="106">
        <f t="shared" si="0"/>
        <v>0.9735109925731924</v>
      </c>
      <c r="G20" s="110">
        <f t="shared" si="1"/>
        <v>0.79831590486186643</v>
      </c>
      <c r="H20" s="106">
        <f>'T1'!O21</f>
        <v>32.18</v>
      </c>
      <c r="I20" s="132">
        <f>[1]!hecalc(2,0,1,'T1'!H21*100000,9,'T1'!U21-'Recalage Tout T2'!G20*'T1'!Z21,1)</f>
        <v>29.566746663229122</v>
      </c>
      <c r="J20" s="113">
        <f>I20-H20</f>
        <v>-2.6132533367708781</v>
      </c>
      <c r="K20" s="123">
        <f>G20*'T1'!Z21/1000*'Recalage Tout T2'!O20/1000</f>
        <v>2.0169131569156087</v>
      </c>
      <c r="L20" s="131">
        <f>(K20-'T1'!AB21)/'T1'!$AB$19</f>
        <v>0.35210707933942653</v>
      </c>
      <c r="M20" s="106">
        <f>'T1'!E21</f>
        <v>13.88</v>
      </c>
      <c r="N20" s="106">
        <f>'T1'!T21</f>
        <v>1.0371523860046454</v>
      </c>
      <c r="O20" s="106">
        <f>'T1'!S21</f>
        <v>38.337152190756633</v>
      </c>
      <c r="P20" s="106">
        <f>'T2'!M21</f>
        <v>19.8</v>
      </c>
      <c r="Q20" s="106">
        <f>'T2'!E21</f>
        <v>5.38</v>
      </c>
      <c r="R20" s="106">
        <f>'T2'!R21</f>
        <v>0.99851018327079222</v>
      </c>
      <c r="S20" s="106">
        <f>'T2'!Q21</f>
        <v>32.107152946529553</v>
      </c>
      <c r="T20" s="106">
        <f t="shared" si="2"/>
        <v>6.2299992442270806</v>
      </c>
      <c r="U20" s="114">
        <v>19.920000000000002</v>
      </c>
      <c r="V20" s="106">
        <f>[1]!hecalc(5,0,1,Q20*100000,2,U20,1)</f>
        <v>0.9989053868250114</v>
      </c>
      <c r="W20" s="106">
        <f t="shared" si="3"/>
        <v>32.003965719498531</v>
      </c>
      <c r="X20" s="106">
        <f t="shared" si="4"/>
        <v>0.10318722703102168</v>
      </c>
      <c r="Y20" s="117">
        <f>X20-$H$5</f>
        <v>3.1872270310216722E-3</v>
      </c>
      <c r="Z20" s="113">
        <f t="shared" si="5"/>
        <v>-0.12000000000000099</v>
      </c>
      <c r="AA20" s="109">
        <f>'T2'!P21</f>
        <v>2644</v>
      </c>
      <c r="AB20" s="108">
        <f t="shared" si="6"/>
        <v>166.12741952182827</v>
      </c>
      <c r="AC20" s="106">
        <f>'T2'!G21</f>
        <v>1.31</v>
      </c>
      <c r="AD20" s="109">
        <f>[1]!hecalc(8,0,1,Q20*100000,2,U20,1)</f>
        <v>13895.29548516662</v>
      </c>
      <c r="AE20" s="109">
        <f>[1]!hecalc(9,0,1,Q20*100000,2,U20,1)</f>
        <v>115901.31960195911</v>
      </c>
      <c r="AF20" s="109">
        <f>AE20-[1]!hecalc(9,0,1,AC20*100000,8,AD20,1)</f>
        <v>43958.21352938925</v>
      </c>
      <c r="AG20" s="108">
        <f t="shared" si="7"/>
        <v>296.50704386030782</v>
      </c>
      <c r="AH20" s="106">
        <f t="shared" si="8"/>
        <v>0.56028152774709539</v>
      </c>
      <c r="AI20" s="106">
        <f>AH20/'T2'!U1C0_thT2</f>
        <v>0.90465088200692545</v>
      </c>
      <c r="AJ20" s="110">
        <f>(0.321*AI20^4-1.6098*AI20^3+1.316*AI20^2+0.9448*AI20)*('T2'!Rendement_thT2/0.97)</f>
        <v>0.78683872989866555</v>
      </c>
      <c r="AK20" s="109">
        <f>'T1'!AB21*1000</f>
        <v>1484.5354762474331</v>
      </c>
      <c r="AL20" s="109">
        <f t="shared" si="9"/>
        <v>1106.9539632712967</v>
      </c>
      <c r="AM20" s="109">
        <f t="shared" si="10"/>
        <v>81313.294699880149</v>
      </c>
      <c r="AN20" s="112">
        <f>[1]!hecalc(2,0,1,AC20*100000,9,AM20,1)</f>
        <v>13.007772742129912</v>
      </c>
      <c r="AO20" s="108">
        <f>'T2'!N21</f>
        <v>16.170000000000002</v>
      </c>
      <c r="AP20" s="113">
        <f t="shared" si="11"/>
        <v>-3.1622272578700894</v>
      </c>
    </row>
    <row r="21" spans="1:42" s="50" customFormat="1">
      <c r="A21" s="103" t="str">
        <f>'T1'!A22</f>
        <v>Cas 4</v>
      </c>
      <c r="B21" s="104">
        <f>'T1'!B22</f>
        <v>42047</v>
      </c>
      <c r="C21" s="105">
        <f>'T1'!C22</f>
        <v>0.8125</v>
      </c>
      <c r="D21" s="106">
        <f>'T1'!N22</f>
        <v>39.92</v>
      </c>
      <c r="E21" s="106">
        <f>'T1'!AE22</f>
        <v>0.61029202422438877</v>
      </c>
      <c r="F21" s="106">
        <f t="shared" si="0"/>
        <v>0.97359348651785815</v>
      </c>
      <c r="G21" s="110">
        <f t="shared" si="1"/>
        <v>0.79832368891549299</v>
      </c>
      <c r="H21" s="106">
        <f>'T1'!O22</f>
        <v>32.46</v>
      </c>
      <c r="I21" s="132">
        <f>[1]!hecalc(2,0,1,'T1'!H22*100000,9,'T1'!U22-'Recalage Tout T2'!G21*'T1'!Z22,1)</f>
        <v>29.912435853498511</v>
      </c>
      <c r="J21" s="113">
        <f>I21-H21</f>
        <v>-2.5475641465014895</v>
      </c>
      <c r="K21" s="123">
        <f>G21*'T1'!Z22/1000*'Recalage Tout T2'!O21/1000</f>
        <v>2.052453124919325</v>
      </c>
      <c r="L21" s="131">
        <f>(K21-'T1'!AB22)/'T1'!$AB$19</f>
        <v>0.34535756703799597</v>
      </c>
      <c r="M21" s="106">
        <f>'T1'!E22</f>
        <v>14.05</v>
      </c>
      <c r="N21" s="106">
        <f>'T1'!T22</f>
        <v>1.0375469235953663</v>
      </c>
      <c r="O21" s="106">
        <f>'T1'!S22</f>
        <v>38.580017101845769</v>
      </c>
      <c r="P21" s="106">
        <f>'T2'!M22</f>
        <v>20.079999999999998</v>
      </c>
      <c r="Q21" s="106">
        <f>'T2'!E22</f>
        <v>5.45</v>
      </c>
      <c r="R21" s="106">
        <f>'T2'!R22</f>
        <v>0.99943736605546174</v>
      </c>
      <c r="S21" s="106">
        <f>'T2'!Q22</f>
        <v>32.282355990516884</v>
      </c>
      <c r="T21" s="106">
        <f t="shared" si="2"/>
        <v>6.2976611113288854</v>
      </c>
      <c r="U21" s="114">
        <v>20.2</v>
      </c>
      <c r="V21" s="106">
        <f>[1]!hecalc(5,0,1,Q21*100000,2,U21,1)</f>
        <v>0.99981442959800504</v>
      </c>
      <c r="W21" s="106">
        <f t="shared" si="3"/>
        <v>32.180255128163459</v>
      </c>
      <c r="X21" s="106">
        <f t="shared" si="4"/>
        <v>0.1021008623534243</v>
      </c>
      <c r="Y21" s="117">
        <f>X21-$H$5</f>
        <v>2.1008623534242987E-3</v>
      </c>
      <c r="Z21" s="113">
        <f t="shared" si="5"/>
        <v>-0.12000000000000099</v>
      </c>
      <c r="AA21" s="109">
        <f>'T2'!P22</f>
        <v>2668</v>
      </c>
      <c r="AB21" s="108">
        <f t="shared" si="6"/>
        <v>167.63538399555136</v>
      </c>
      <c r="AC21" s="106">
        <f>'T2'!G22</f>
        <v>1.31</v>
      </c>
      <c r="AD21" s="109">
        <f>[1]!hecalc(8,0,1,Q21*100000,2,U21,1)</f>
        <v>13943.414873255715</v>
      </c>
      <c r="AE21" s="109">
        <f>[1]!hecalc(9,0,1,Q21*100000,2,U21,1)</f>
        <v>117404.89499049867</v>
      </c>
      <c r="AF21" s="109">
        <f>AE21-[1]!hecalc(9,0,1,AC21*100000,8,AD21,1)</f>
        <v>44916.954481101537</v>
      </c>
      <c r="AG21" s="108">
        <f t="shared" si="7"/>
        <v>299.72305377164946</v>
      </c>
      <c r="AH21" s="106">
        <f t="shared" si="8"/>
        <v>0.55930093426603089</v>
      </c>
      <c r="AI21" s="106">
        <f>AH21/'T2'!U1C0_thT2</f>
        <v>0.90306758019595501</v>
      </c>
      <c r="AJ21" s="110">
        <f>(0.321*AI21^4-1.6098*AI21^3+1.316*AI21^2+0.9448*AI21)*('T2'!Rendement_thT2/0.97)</f>
        <v>0.78641281888501835</v>
      </c>
      <c r="AK21" s="109">
        <f>'T1'!AB22*1000</f>
        <v>1530.280549219269</v>
      </c>
      <c r="AL21" s="109">
        <f t="shared" si="9"/>
        <v>1136.7118015975716</v>
      </c>
      <c r="AM21" s="109">
        <f t="shared" si="10"/>
        <v>82081.626201285544</v>
      </c>
      <c r="AN21" s="112">
        <f>[1]!hecalc(2,0,1,AC21*100000,9,AM21,1)</f>
        <v>13.150867100286595</v>
      </c>
      <c r="AO21" s="108">
        <f>'T2'!N22</f>
        <v>16.260000000000002</v>
      </c>
      <c r="AP21" s="113">
        <f t="shared" si="11"/>
        <v>-3.1091328997134067</v>
      </c>
    </row>
    <row r="22" spans="1:42" s="50" customFormat="1">
      <c r="A22" s="103" t="str">
        <f>'T1'!A23</f>
        <v>Cas 5</v>
      </c>
      <c r="B22" s="104">
        <f>'T1'!B23</f>
        <v>42053</v>
      </c>
      <c r="C22" s="105">
        <f>'T1'!C23</f>
        <v>0.7090277777777777</v>
      </c>
      <c r="D22" s="106">
        <f>'T1'!N23</f>
        <v>40.1</v>
      </c>
      <c r="E22" s="106">
        <f>'T1'!AE23</f>
        <v>0.61068735564900889</v>
      </c>
      <c r="F22" s="106">
        <f t="shared" si="0"/>
        <v>0.97422415525470607</v>
      </c>
      <c r="G22" s="110">
        <f t="shared" si="1"/>
        <v>0.7983826206615926</v>
      </c>
      <c r="H22" s="106">
        <f>'T1'!O23</f>
        <v>32.46</v>
      </c>
      <c r="I22" s="132">
        <f>[1]!hecalc(2,0,1,'T1'!H23*100000,9,'T1'!U23-'Recalage Tout T2'!G22*'T1'!Z23,1)</f>
        <v>29.986712223367206</v>
      </c>
      <c r="J22" s="113">
        <f>I22-H22</f>
        <v>-2.4732877766327945</v>
      </c>
      <c r="K22" s="123">
        <f>G22*'T1'!Z23/1000*'Recalage Tout T2'!O22/1000</f>
        <v>2.072562204742185</v>
      </c>
      <c r="L22" s="131">
        <f>(K22-'T1'!AB23)/'T1'!$AB$19</f>
        <v>0.33494778533510117</v>
      </c>
      <c r="M22" s="106">
        <f>'T1'!E23</f>
        <v>14.07</v>
      </c>
      <c r="N22" s="106">
        <f>'T1'!T23</f>
        <v>1.0375702088052876</v>
      </c>
      <c r="O22" s="106">
        <f>'T1'!S23</f>
        <v>38.547693372254017</v>
      </c>
      <c r="P22" s="106">
        <f>'T2'!M23</f>
        <v>19.89</v>
      </c>
      <c r="Q22" s="106">
        <f>'T2'!E23</f>
        <v>5.42</v>
      </c>
      <c r="R22" s="106">
        <f>'T2'!R23</f>
        <v>0.99881495963183509</v>
      </c>
      <c r="S22" s="106">
        <f>'T2'!Q23</f>
        <v>32.267679996443896</v>
      </c>
      <c r="T22" s="106">
        <f t="shared" si="2"/>
        <v>6.2800133758101211</v>
      </c>
      <c r="U22" s="114">
        <v>20.010000000000002</v>
      </c>
      <c r="V22" s="106">
        <f>[1]!hecalc(5,0,1,Q22*100000,2,U22,1)</f>
        <v>0.99920534941227579</v>
      </c>
      <c r="W22" s="106">
        <f t="shared" si="3"/>
        <v>32.164494657885562</v>
      </c>
      <c r="X22" s="106">
        <f t="shared" si="4"/>
        <v>0.10318533855833323</v>
      </c>
      <c r="Y22" s="117">
        <f>X22-$H$5</f>
        <v>3.1853385583332228E-3</v>
      </c>
      <c r="Z22" s="113">
        <f t="shared" si="5"/>
        <v>-0.12000000000000099</v>
      </c>
      <c r="AA22" s="109">
        <f>'T2'!P23</f>
        <v>2663</v>
      </c>
      <c r="AB22" s="108">
        <f t="shared" si="6"/>
        <v>167.3212247301924</v>
      </c>
      <c r="AC22" s="106">
        <f>'T2'!G23</f>
        <v>1.3</v>
      </c>
      <c r="AD22" s="109">
        <f>[1]!hecalc(8,0,1,Q22*100000,2,U22,1)</f>
        <v>13903.699567021955</v>
      </c>
      <c r="AE22" s="109">
        <f>[1]!hecalc(9,0,1,Q22*100000,2,U22,1)</f>
        <v>116376.01747940334</v>
      </c>
      <c r="AF22" s="109">
        <f>AE22-[1]!hecalc(9,0,1,AC22*100000,8,AD22,1)</f>
        <v>44513.1671762193</v>
      </c>
      <c r="AG22" s="108">
        <f t="shared" si="7"/>
        <v>298.37281101407115</v>
      </c>
      <c r="AH22" s="106">
        <f t="shared" si="8"/>
        <v>0.56077906080491224</v>
      </c>
      <c r="AI22" s="106">
        <f>AH22/'T2'!U1C0_thT2</f>
        <v>0.90545421693283579</v>
      </c>
      <c r="AJ22" s="110">
        <f>(0.321*AI22^4-1.6098*AI22^3+1.316*AI22^2+0.9448*AI22)*('T2'!Rendement_thT2/0.97)</f>
        <v>0.78705249600964988</v>
      </c>
      <c r="AK22" s="109">
        <f>'T1'!AB23*1000</f>
        <v>1566.1289758614153</v>
      </c>
      <c r="AL22" s="109">
        <f t="shared" si="9"/>
        <v>1126.8573172361262</v>
      </c>
      <c r="AM22" s="109">
        <f t="shared" si="10"/>
        <v>81341.818148065126</v>
      </c>
      <c r="AN22" s="112">
        <f>[1]!hecalc(2,0,1,AC22*100000,9,AM22,1)</f>
        <v>13.010942329443665</v>
      </c>
      <c r="AO22" s="108">
        <f>'T2'!N23</f>
        <v>16.170000000000002</v>
      </c>
      <c r="AP22" s="113">
        <f t="shared" si="11"/>
        <v>-3.1590576705563365</v>
      </c>
    </row>
    <row r="23" spans="1:42" s="50" customFormat="1">
      <c r="A23" s="103" t="str">
        <f>'T1'!A24</f>
        <v>Test de Perf</v>
      </c>
      <c r="B23" s="104">
        <f>'T1'!B24</f>
        <v>42053</v>
      </c>
      <c r="C23" s="105">
        <f>'T1'!C24</f>
        <v>0.6875</v>
      </c>
      <c r="D23" s="106">
        <f>'T1'!N24</f>
        <v>41</v>
      </c>
      <c r="E23" s="106">
        <f>'T1'!AE24</f>
        <v>0.60398767729289726</v>
      </c>
      <c r="F23" s="106">
        <f t="shared" si="0"/>
        <v>0.96353621743090012</v>
      </c>
      <c r="G23" s="110">
        <f t="shared" si="1"/>
        <v>0.79724618709539263</v>
      </c>
      <c r="H23" s="106">
        <f>'T1'!O24</f>
        <v>33.18</v>
      </c>
      <c r="I23" s="132">
        <f>[1]!hecalc(2,0,1,'T1'!H24*100000,9,'T1'!U24-'Recalage Tout T2'!G23*'T1'!Z24,1)</f>
        <v>30.591558509310619</v>
      </c>
      <c r="J23" s="113">
        <f>I23-H23</f>
        <v>-2.5884414906893802</v>
      </c>
      <c r="K23" s="123">
        <f>G23*'T1'!Z24/1000*'Recalage Tout T2'!O23/1000</f>
        <v>2.1001716729841418</v>
      </c>
      <c r="L23" s="131">
        <f>(K23-'T1'!AB24)/'T1'!$AB$19</f>
        <v>0.34456650417233725</v>
      </c>
      <c r="M23" s="106">
        <f>'T1'!E24</f>
        <v>14</v>
      </c>
      <c r="N23" s="106">
        <f>'T1'!T24</f>
        <v>1.0372046952694358</v>
      </c>
      <c r="O23" s="106">
        <f>'T1'!S24</f>
        <v>37.939281480803075</v>
      </c>
      <c r="P23" s="106">
        <f>'T2'!M24</f>
        <v>19.89</v>
      </c>
      <c r="Q23" s="106">
        <f>'T2'!E24</f>
        <v>5.34</v>
      </c>
      <c r="R23" s="106">
        <f>'T2'!R24</f>
        <v>0.99880033226413201</v>
      </c>
      <c r="S23" s="106">
        <f>'T2'!Q24</f>
        <v>31.791637067639485</v>
      </c>
      <c r="T23" s="106">
        <f>O23-S23</f>
        <v>6.1476444131635901</v>
      </c>
      <c r="U23" s="114">
        <v>20.010000000000002</v>
      </c>
      <c r="V23" s="106">
        <f>[1]!hecalc(5,0,1,Q23*100000,2,U23,1)</f>
        <v>0.99918560011377777</v>
      </c>
      <c r="W23" s="106">
        <f>$C$11*Q23/SQRT(U23*V23)</f>
        <v>31.690055147801377</v>
      </c>
      <c r="X23" s="106">
        <f>S23-W23</f>
        <v>0.10158191983810738</v>
      </c>
      <c r="Y23" s="117">
        <f>X23-$H$5</f>
        <v>1.5819198381073762E-3</v>
      </c>
      <c r="Z23" s="113">
        <f>P23-U23</f>
        <v>-0.12000000000000099</v>
      </c>
      <c r="AA23" s="109">
        <f>'T2'!P24</f>
        <v>2663</v>
      </c>
      <c r="AB23" s="108">
        <f t="shared" si="6"/>
        <v>167.3212247301924</v>
      </c>
      <c r="AC23" s="106">
        <f>'T2'!G24</f>
        <v>1.3</v>
      </c>
      <c r="AD23" s="109">
        <f>[1]!hecalc(8,0,1,Q23*100000,2,U23,1)</f>
        <v>13936.536169607747</v>
      </c>
      <c r="AE23" s="109">
        <f>[1]!hecalc(9,0,1,Q23*100000,2,U23,1)</f>
        <v>116415.4899743406</v>
      </c>
      <c r="AF23" s="109">
        <f>AE23-[1]!hecalc(9,0,1,AC23*100000,8,AD23,1)</f>
        <v>44181.942181858758</v>
      </c>
      <c r="AG23" s="108">
        <f>SQRT(2*AF23)</f>
        <v>297.26063372689885</v>
      </c>
      <c r="AH23" s="106">
        <f>AB23/AG23</f>
        <v>0.56287717156626538</v>
      </c>
      <c r="AI23" s="106">
        <f>AH23/'T2'!U1C0_thT2</f>
        <v>0.90884190268867082</v>
      </c>
      <c r="AJ23" s="110">
        <f>(0.321*AI23^4-1.6098*AI23^3+1.316*AI23^2+0.9448*AI23)*('T2'!Rendement_thT2/0.97)</f>
        <v>0.78793665129809032</v>
      </c>
      <c r="AK23" s="109">
        <f>'T1'!AB24*1000</f>
        <v>1579.1951658620656</v>
      </c>
      <c r="AL23" s="109">
        <f>AJ23*AF23*W23/1000</f>
        <v>1103.2123129097185</v>
      </c>
      <c r="AM23" s="109">
        <f>AE23-AJ23*AF23</f>
        <v>81602.918403720963</v>
      </c>
      <c r="AN23" s="112">
        <f>[1]!hecalc(2,0,1,AC23*100000,9,AM23,1)</f>
        <v>13.059571257597874</v>
      </c>
      <c r="AO23" s="108">
        <f>'T2'!N24</f>
        <v>16.170000000000002</v>
      </c>
      <c r="AP23" s="113">
        <f>AN23-AO23</f>
        <v>-3.110428742402128</v>
      </c>
    </row>
    <row r="24" spans="1:42" s="50" customFormat="1">
      <c r="A24" s="103" t="str">
        <f>'T1'!A25</f>
        <v>Cas 6</v>
      </c>
      <c r="B24" s="104">
        <f>'T1'!B25</f>
        <v>42039</v>
      </c>
      <c r="C24" s="105">
        <f>'T1'!C25</f>
        <v>0.65763888888888888</v>
      </c>
      <c r="D24" s="106">
        <f>'T1'!N25</f>
        <v>40.729999999999997</v>
      </c>
      <c r="E24" s="106">
        <f>'T1'!AE25</f>
        <v>0.59470151901012813</v>
      </c>
      <c r="F24" s="106">
        <f t="shared" ref="F24:F38" si="12">E24/$B$12</f>
        <v>0.94872209097993121</v>
      </c>
      <c r="G24" s="110">
        <f t="shared" si="1"/>
        <v>0.79518986375077549</v>
      </c>
      <c r="H24" s="106">
        <f>'T1'!O25</f>
        <v>33</v>
      </c>
      <c r="I24" s="132">
        <f>[1]!hecalc(2,0,1,'T1'!H25*100000,9,'T1'!U25-'Recalage Tout T2'!G24*'T1'!Z25,1)</f>
        <v>30.438757768576018</v>
      </c>
      <c r="J24" s="113">
        <f t="shared" ref="J24:J38" si="13">I24-H24</f>
        <v>-2.5612422314239822</v>
      </c>
      <c r="K24" s="123">
        <f>G24*'T1'!Z25/1000*'Recalage Tout T2'!O24/1000</f>
        <v>1.981161154311216</v>
      </c>
      <c r="L24" s="131">
        <f>(K24-'T1'!AB25)/'T1'!$AB$19</f>
        <v>0.32551024020050112</v>
      </c>
      <c r="M24" s="106">
        <f>'T1'!E25</f>
        <v>13.32</v>
      </c>
      <c r="N24" s="106">
        <f>'T1'!T25</f>
        <v>1.0354087766797031</v>
      </c>
      <c r="O24" s="106">
        <f>'T1'!S25</f>
        <v>36.247355749048744</v>
      </c>
      <c r="P24" s="106">
        <f>'T2'!M25</f>
        <v>19.8</v>
      </c>
      <c r="Q24" s="106">
        <f>'T2'!E25</f>
        <v>5.093</v>
      </c>
      <c r="R24" s="106">
        <f>'T2'!R25</f>
        <v>0.99847861790569103</v>
      </c>
      <c r="S24" s="106">
        <f>'T2'!Q25</f>
        <v>30.394854029774038</v>
      </c>
      <c r="T24" s="106">
        <f t="shared" ref="T24:T38" si="14">O24-S24</f>
        <v>5.8525017192747057</v>
      </c>
      <c r="U24" s="114">
        <v>19.920000000000002</v>
      </c>
      <c r="V24" s="106">
        <f>[1]!hecalc(5,0,1,Q24*100000,2,U24,1)</f>
        <v>0.99885495039691141</v>
      </c>
      <c r="W24" s="106">
        <f t="shared" ref="W24:W38" si="15">$C$11*Q24/SQRT(U24*V24)</f>
        <v>30.297455862926707</v>
      </c>
      <c r="X24" s="106">
        <f t="shared" ref="X24:X38" si="16">S24-W24</f>
        <v>9.7398166847330714E-2</v>
      </c>
      <c r="Y24" s="117">
        <f t="shared" ref="Y24:Y38" si="17">X24-$H$5</f>
        <v>-2.6018331526692917E-3</v>
      </c>
      <c r="Z24" s="113">
        <f t="shared" ref="Z24:Z38" si="18">P24-U24</f>
        <v>-0.12000000000000099</v>
      </c>
      <c r="AA24" s="109">
        <f>'T2'!P25</f>
        <v>2553</v>
      </c>
      <c r="AB24" s="108">
        <f t="shared" ref="AB24:AB38" si="19">PI()*$C$5/1000*AA24</f>
        <v>160.40972089229484</v>
      </c>
      <c r="AC24" s="106">
        <f>'T2'!G25</f>
        <v>1.2849999999999999</v>
      </c>
      <c r="AD24" s="109">
        <f>[1]!hecalc(8,0,1,Q24*100000,2,U24,1)</f>
        <v>14016.244600899037</v>
      </c>
      <c r="AE24" s="109">
        <f>[1]!hecalc(9,0,1,Q24*100000,2,U24,1)</f>
        <v>116044.74413229394</v>
      </c>
      <c r="AF24" s="109">
        <f>AE24-[1]!hecalc(9,0,1,AC24*100000,8,AD24,1)</f>
        <v>43172.037774068784</v>
      </c>
      <c r="AG24" s="108">
        <f t="shared" ref="AG24:AG38" si="20">SQRT(2*AF24)</f>
        <v>293.84362431085276</v>
      </c>
      <c r="AH24" s="106">
        <f t="shared" ref="AH24:AH38" si="21">AB24/AG24</f>
        <v>0.54590165523754841</v>
      </c>
      <c r="AI24" s="106">
        <f>AH24/'T2'!U1C0_thT2</f>
        <v>0.88143261814372553</v>
      </c>
      <c r="AJ24" s="110">
        <f>(0.321*AI24^4-1.6098*AI24^3+1.316*AI24^2+0.9448*AI24)*('T2'!Rendement_thT2/0.97)</f>
        <v>0.77998641301608673</v>
      </c>
      <c r="AK24" s="109">
        <f>'T1'!AB25*1000</f>
        <v>1488.9972732645924</v>
      </c>
      <c r="AL24" s="109">
        <f t="shared" ref="AL24:AL38" si="22">AJ24*AF24*W24/1000</f>
        <v>1020.2244971840311</v>
      </c>
      <c r="AM24" s="109">
        <f t="shared" ref="AM24:AM38" si="23">AE24-AJ24*AF24</f>
        <v>82371.141246303028</v>
      </c>
      <c r="AN24" s="112">
        <f>[1]!hecalc(2,0,1,AC24*100000,9,AM24,1)</f>
        <v>13.19957642382426</v>
      </c>
      <c r="AO24" s="108">
        <f>'T2'!N25</f>
        <v>16.260000000000002</v>
      </c>
      <c r="AP24" s="113">
        <f t="shared" ref="AP24:AP38" si="24">AN24-AO24</f>
        <v>-3.0604235761757419</v>
      </c>
    </row>
    <row r="25" spans="1:42" s="50" customFormat="1">
      <c r="A25" s="103" t="str">
        <f>'T1'!A26</f>
        <v>Cas 7</v>
      </c>
      <c r="B25" s="104">
        <f>'T1'!B26</f>
        <v>42039</v>
      </c>
      <c r="C25" s="105">
        <f>'T1'!C26</f>
        <v>0.58333333333333337</v>
      </c>
      <c r="D25" s="106">
        <f>'T1'!N26</f>
        <v>42.63</v>
      </c>
      <c r="E25" s="106">
        <f>'T1'!AE26</f>
        <v>0.57264312172799858</v>
      </c>
      <c r="F25" s="106">
        <f t="shared" si="12"/>
        <v>0.91353252424063458</v>
      </c>
      <c r="G25" s="110">
        <f t="shared" si="1"/>
        <v>0.78809848239645974</v>
      </c>
      <c r="H25" s="106">
        <f>'T1'!O26</f>
        <v>34.46</v>
      </c>
      <c r="I25" s="132">
        <f>[1]!hecalc(2,0,1,'T1'!H26*100000,9,'T1'!U26-'Recalage Tout T2'!G25*'T1'!Z26,1)</f>
        <v>31.822852355101919</v>
      </c>
      <c r="J25" s="113">
        <f t="shared" si="13"/>
        <v>-2.6371476448980822</v>
      </c>
      <c r="K25" s="123">
        <f>G25*'T1'!Z26/1000*'Recalage Tout T2'!O25/1000</f>
        <v>1.9404789535726847</v>
      </c>
      <c r="L25" s="131">
        <f>(K25-'T1'!AB26)/'T1'!$AB$19</f>
        <v>0.31174638130365412</v>
      </c>
      <c r="M25" s="106">
        <f>'T1'!E26</f>
        <v>12.7</v>
      </c>
      <c r="N25" s="106">
        <f>'T1'!T26</f>
        <v>1.0333496088885963</v>
      </c>
      <c r="O25" s="106">
        <f>'T1'!S26</f>
        <v>33.814864096566083</v>
      </c>
      <c r="P25" s="106">
        <f>'T2'!M26</f>
        <v>19.71</v>
      </c>
      <c r="Q25" s="106">
        <f>'T2'!E26</f>
        <v>4.78</v>
      </c>
      <c r="R25" s="106">
        <f>'T2'!R26</f>
        <v>0.99818708795173328</v>
      </c>
      <c r="S25" s="106">
        <f>'T2'!Q26</f>
        <v>28.596111127326399</v>
      </c>
      <c r="T25" s="106">
        <f t="shared" si="14"/>
        <v>5.2187529692396843</v>
      </c>
      <c r="U25" s="114">
        <v>19.84</v>
      </c>
      <c r="V25" s="106">
        <f>[1]!hecalc(5,0,1,Q25*100000,2,U25,1)</f>
        <v>0.99857905555179249</v>
      </c>
      <c r="W25" s="106">
        <f t="shared" si="15"/>
        <v>28.496675816600828</v>
      </c>
      <c r="X25" s="106">
        <f t="shared" si="16"/>
        <v>9.9435310725571213E-2</v>
      </c>
      <c r="Y25" s="117">
        <f t="shared" si="17"/>
        <v>-5.6468927442879235E-4</v>
      </c>
      <c r="Z25" s="113">
        <f t="shared" si="18"/>
        <v>-0.12999999999999901</v>
      </c>
      <c r="AA25" s="109">
        <f>'T2'!P26</f>
        <v>2476</v>
      </c>
      <c r="AB25" s="108">
        <f t="shared" si="19"/>
        <v>155.57166820576657</v>
      </c>
      <c r="AC25" s="106">
        <f>'T2'!G26</f>
        <v>1.256</v>
      </c>
      <c r="AD25" s="109">
        <f>[1]!hecalc(8,0,1,Q25*100000,2,U25,1)</f>
        <v>14133.756965658145</v>
      </c>
      <c r="AE25" s="109">
        <f>[1]!hecalc(9,0,1,Q25*100000,2,U25,1)</f>
        <v>115765.03754669375</v>
      </c>
      <c r="AF25" s="109">
        <f>AE25-[1]!hecalc(9,0,1,AC25*100000,8,AD25,1)</f>
        <v>42073.524242494328</v>
      </c>
      <c r="AG25" s="108">
        <f t="shared" si="20"/>
        <v>290.08110673566568</v>
      </c>
      <c r="AH25" s="106">
        <f t="shared" si="21"/>
        <v>0.53630403564176321</v>
      </c>
      <c r="AI25" s="106">
        <f>AH25/'T2'!U1C0_thT2</f>
        <v>0.86593595333771889</v>
      </c>
      <c r="AJ25" s="110">
        <f>(0.321*AI25^4-1.6098*AI25^3+1.316*AI25^2+0.9448*AI25)*('T2'!Rendement_thT2/0.97)</f>
        <v>0.77469709770067086</v>
      </c>
      <c r="AK25" s="109">
        <f>'T1'!AB26*1000</f>
        <v>1469.1257057297287</v>
      </c>
      <c r="AL25" s="109">
        <f t="shared" si="22"/>
        <v>928.82740871798114</v>
      </c>
      <c r="AM25" s="109">
        <f t="shared" si="23"/>
        <v>83170.800425994588</v>
      </c>
      <c r="AN25" s="112">
        <f>[1]!hecalc(2,0,1,AC25*100000,9,AM25,1)</f>
        <v>13.342762611321335</v>
      </c>
      <c r="AO25" s="108">
        <f>'T2'!N26</f>
        <v>16.350000000000001</v>
      </c>
      <c r="AP25" s="113">
        <f t="shared" si="24"/>
        <v>-3.0072373886786661</v>
      </c>
    </row>
    <row r="26" spans="1:42" s="50" customFormat="1">
      <c r="A26" s="103" t="str">
        <f>'T1'!A27</f>
        <v>Cas 8 - redem T1</v>
      </c>
      <c r="B26" s="104">
        <f>'T1'!B27</f>
        <v>42046</v>
      </c>
      <c r="C26" s="105">
        <f>'T1'!C27</f>
        <v>0.62291666666666667</v>
      </c>
      <c r="D26" s="106">
        <f>'T1'!N27</f>
        <v>32.07</v>
      </c>
      <c r="E26" s="106">
        <f>'T1'!AE27</f>
        <v>0.48217643765606788</v>
      </c>
      <c r="F26" s="106">
        <f t="shared" si="12"/>
        <v>0.76921182060496551</v>
      </c>
      <c r="G26" s="110">
        <f t="shared" si="1"/>
        <v>0.72841266300871488</v>
      </c>
      <c r="H26" s="106">
        <f>'T1'!O27</f>
        <v>28.91</v>
      </c>
      <c r="I26" s="132">
        <f>[1]!hecalc(2,0,1,'T1'!H27*100000,9,'T1'!U27-'Recalage Tout T2'!G26*'T1'!Z27,1)</f>
        <v>25.209363082248935</v>
      </c>
      <c r="J26" s="113">
        <f t="shared" si="13"/>
        <v>-3.7006369177510656</v>
      </c>
      <c r="K26" s="123">
        <f>G26*'T1'!Z27/1000*'Recalage Tout T2'!O26/1000</f>
        <v>0.67625749663900725</v>
      </c>
      <c r="L26" s="131">
        <f>(K26-'T1'!AB27)/'T1'!$AB$19</f>
        <v>0.24410391563904446</v>
      </c>
      <c r="M26" s="106">
        <f>'T1'!E27</f>
        <v>6.11</v>
      </c>
      <c r="N26" s="106">
        <f>'T1'!T27</f>
        <v>1.0154489897361456</v>
      </c>
      <c r="O26" s="106">
        <f>'T1'!S27</f>
        <v>18.921166429136832</v>
      </c>
      <c r="P26" s="106">
        <f>'T2'!M27</f>
        <v>17.899999999999999</v>
      </c>
      <c r="Q26" s="106">
        <f>'T2'!E27</f>
        <v>2.5459999999999998</v>
      </c>
      <c r="R26" s="106">
        <f>'T2'!R27</f>
        <v>0.99487548975245554</v>
      </c>
      <c r="S26" s="106">
        <f>'T2'!Q27</f>
        <v>16.009430516865155</v>
      </c>
      <c r="T26" s="106">
        <f t="shared" si="14"/>
        <v>2.9117359122716771</v>
      </c>
      <c r="U26" s="114">
        <v>20</v>
      </c>
      <c r="V26" s="106">
        <f>[1]!hecalc(5,0,1,Q26*100000,2,U26,1)</f>
        <v>0.99909457032591431</v>
      </c>
      <c r="W26" s="106">
        <v>15.91</v>
      </c>
      <c r="X26" s="106">
        <f t="shared" si="16"/>
        <v>9.9430516865155028E-2</v>
      </c>
      <c r="Y26" s="117">
        <f t="shared" si="17"/>
        <v>-5.6948313484497803E-4</v>
      </c>
      <c r="Z26" s="113">
        <f t="shared" si="18"/>
        <v>-2.1000000000000014</v>
      </c>
      <c r="AA26" s="109">
        <f>'T2'!P27</f>
        <v>1692</v>
      </c>
      <c r="AB26" s="108">
        <f t="shared" si="19"/>
        <v>106.31149539747861</v>
      </c>
      <c r="AC26" s="106">
        <f>'T2'!G27</f>
        <v>1.1339999999999999</v>
      </c>
      <c r="AD26" s="109">
        <f>[1]!hecalc(8,0,1,Q26*100000,2,U26,1)</f>
        <v>15541.87238496112</v>
      </c>
      <c r="AE26" s="109">
        <f>[1]!hecalc(9,0,1,Q26*100000,2,U26,1)</f>
        <v>117779.95392211471</v>
      </c>
      <c r="AF26" s="109">
        <f>AE26-[1]!hecalc(9,0,1,AC26*100000,8,AD26,1)</f>
        <v>28552.234453436598</v>
      </c>
      <c r="AG26" s="108">
        <f t="shared" si="20"/>
        <v>238.96541362061834</v>
      </c>
      <c r="AH26" s="106">
        <f t="shared" si="21"/>
        <v>0.44488235258286712</v>
      </c>
      <c r="AI26" s="106">
        <f>AH26/'T2'!U1C0_thT2</f>
        <v>0.71832318704441378</v>
      </c>
      <c r="AJ26" s="110">
        <f>(0.321*AI26^4-1.6098*AI26^3+1.316*AI26^2+0.9448*AI26)*('T2'!Rendement_thT2/0.97)</f>
        <v>0.69753757487001189</v>
      </c>
      <c r="AK26" s="109">
        <f>'T1'!AB27*1000</f>
        <v>307.17807712339118</v>
      </c>
      <c r="AL26" s="109">
        <f t="shared" si="22"/>
        <v>316.8676389703233</v>
      </c>
      <c r="AM26" s="109">
        <f t="shared" si="23"/>
        <v>97863.697544344555</v>
      </c>
      <c r="AN26" s="112">
        <f>[1]!hecalc(2,0,1,AC26*100000,9,AM26,1)</f>
        <v>16.082236014352965</v>
      </c>
      <c r="AO26" s="108">
        <f>'T2'!N27</f>
        <v>16.62</v>
      </c>
      <c r="AP26" s="113">
        <f t="shared" si="24"/>
        <v>-0.53776398564703598</v>
      </c>
    </row>
    <row r="27" spans="1:42" s="50" customFormat="1">
      <c r="A27" s="103" t="str">
        <f>'T1'!A28</f>
        <v>Cas 9</v>
      </c>
      <c r="B27" s="104">
        <f>'T1'!B28</f>
        <v>42047</v>
      </c>
      <c r="C27" s="105">
        <f>'T1'!C28</f>
        <v>0.76597222222222217</v>
      </c>
      <c r="D27" s="106">
        <f>'T1'!N28</f>
        <v>46.5</v>
      </c>
      <c r="E27" s="106">
        <f>'T1'!AE28</f>
        <v>0.57270775830958021</v>
      </c>
      <c r="F27" s="106">
        <f t="shared" si="12"/>
        <v>0.91363563840945994</v>
      </c>
      <c r="G27" s="110">
        <f t="shared" si="1"/>
        <v>0.78812373840396233</v>
      </c>
      <c r="H27" s="106">
        <f>'T1'!O28</f>
        <v>36.9</v>
      </c>
      <c r="I27" s="132">
        <f>[1]!hecalc(2,0,1,'T1'!H28*100000,9,'T1'!U28-'Recalage Tout T2'!G27*'T1'!Z28,1)</f>
        <v>34.670421625229999</v>
      </c>
      <c r="J27" s="113">
        <f t="shared" si="13"/>
        <v>-2.22957837477</v>
      </c>
      <c r="K27" s="123">
        <f>G27*'T1'!Z28/1000*'Recalage Tout T2'!O27/1000</f>
        <v>2.2264217452400721</v>
      </c>
      <c r="L27" s="131">
        <f>(K27-'T1'!AB28)/'T1'!$AB$19</f>
        <v>0.27485392066220654</v>
      </c>
      <c r="M27" s="106">
        <f>'T1'!E28</f>
        <v>13.866</v>
      </c>
      <c r="N27" s="106">
        <f>'T1'!T28</f>
        <v>1.0353624920296265</v>
      </c>
      <c r="O27" s="106">
        <f>'T1'!S28</f>
        <v>35.315368064498763</v>
      </c>
      <c r="P27" s="106">
        <f>'T2'!M28</f>
        <v>20.8</v>
      </c>
      <c r="Q27" s="106">
        <f>'T2'!E28</f>
        <v>5.19</v>
      </c>
      <c r="R27" s="106">
        <f>'T2'!R28</f>
        <v>1.0014036474977375</v>
      </c>
      <c r="S27" s="106">
        <f>'T2'!Q28</f>
        <v>30.175847162860276</v>
      </c>
      <c r="T27" s="106">
        <f t="shared" si="14"/>
        <v>5.1395209016384875</v>
      </c>
      <c r="U27" s="114">
        <v>20.93</v>
      </c>
      <c r="V27" s="106">
        <f>[1]!hecalc(5,0,1,Q27*100000,2,U27,1)</f>
        <v>1.001740401950421</v>
      </c>
      <c r="W27" s="106">
        <f t="shared" si="15"/>
        <v>30.076930633190504</v>
      </c>
      <c r="X27" s="106">
        <f t="shared" si="16"/>
        <v>9.8916529669772046E-2</v>
      </c>
      <c r="Y27" s="117">
        <f t="shared" si="17"/>
        <v>-1.0834703302279591E-3</v>
      </c>
      <c r="Z27" s="113">
        <f t="shared" si="18"/>
        <v>-0.12999999999999901</v>
      </c>
      <c r="AA27" s="109">
        <f>'T2'!P28</f>
        <v>2603</v>
      </c>
      <c r="AB27" s="108">
        <f t="shared" si="19"/>
        <v>163.55131354588465</v>
      </c>
      <c r="AC27" s="106">
        <f>'T2'!G28</f>
        <v>1.296</v>
      </c>
      <c r="AD27" s="109">
        <f>[1]!hecalc(8,0,1,Q27*100000,2,U27,1)</f>
        <v>14245.208501972851</v>
      </c>
      <c r="AE27" s="109">
        <f>[1]!hecalc(9,0,1,Q27*100000,2,U27,1)</f>
        <v>121520.87200592612</v>
      </c>
      <c r="AF27" s="109">
        <f>AE27-[1]!hecalc(9,0,1,AC27*100000,8,AD27,1)</f>
        <v>45765.852301588311</v>
      </c>
      <c r="AG27" s="108">
        <f t="shared" si="20"/>
        <v>302.54207079871821</v>
      </c>
      <c r="AH27" s="106">
        <f t="shared" si="21"/>
        <v>0.54059031563479853</v>
      </c>
      <c r="AI27" s="106">
        <f>AH27/'T2'!U1C0_thT2</f>
        <v>0.8728567365229507</v>
      </c>
      <c r="AJ27" s="110">
        <f>(0.321*AI27^4-1.6098*AI27^3+1.316*AI27^2+0.9448*AI27)*('T2'!Rendement_thT2/0.97)</f>
        <v>0.77712936956960654</v>
      </c>
      <c r="AK27" s="109">
        <f>'T1'!AB28*1000</f>
        <v>1810.8490362811481</v>
      </c>
      <c r="AL27" s="109">
        <f t="shared" si="22"/>
        <v>1069.7157523812762</v>
      </c>
      <c r="AM27" s="109">
        <f t="shared" si="23"/>
        <v>85954.88405897707</v>
      </c>
      <c r="AN27" s="112">
        <f>[1]!hecalc(2,0,1,AC27*100000,9,AM27,1)</f>
        <v>13.871016515076009</v>
      </c>
      <c r="AO27" s="108">
        <f>'T2'!N28</f>
        <v>16.8</v>
      </c>
      <c r="AP27" s="113">
        <f t="shared" si="24"/>
        <v>-2.9289834849239913</v>
      </c>
    </row>
    <row r="28" spans="1:42" s="50" customFormat="1">
      <c r="A28" s="103">
        <f>'T1'!A29</f>
        <v>0</v>
      </c>
      <c r="B28" s="104">
        <f>'T1'!B29</f>
        <v>0</v>
      </c>
      <c r="C28" s="105">
        <f>'T1'!C29</f>
        <v>0</v>
      </c>
      <c r="D28" s="106">
        <f>'T1'!N29</f>
        <v>0</v>
      </c>
      <c r="E28" s="106" t="e">
        <f>'T1'!AE29</f>
        <v>#VALUE!</v>
      </c>
      <c r="F28" s="106" t="e">
        <f t="shared" si="12"/>
        <v>#VALUE!</v>
      </c>
      <c r="G28" s="110" t="e">
        <f t="shared" si="1"/>
        <v>#VALUE!</v>
      </c>
      <c r="H28" s="106">
        <f>'T1'!O29</f>
        <v>0</v>
      </c>
      <c r="I28" s="132" t="e">
        <f>[1]!hecalc(2,0,1,'T1'!H29*100000,9,'T1'!U29-'Recalage Tout T2'!G28*'T1'!Z29,1)</f>
        <v>#VALUE!</v>
      </c>
      <c r="J28" s="113" t="e">
        <f t="shared" si="13"/>
        <v>#VALUE!</v>
      </c>
      <c r="K28" s="123" t="e">
        <f>G28*'T1'!Z29/1000*'Recalage Tout T2'!O28/1000</f>
        <v>#VALUE!</v>
      </c>
      <c r="L28" s="131" t="e">
        <f>(K28-'T1'!AB29)/'T1'!$AB$19</f>
        <v>#VALUE!</v>
      </c>
      <c r="M28" s="106">
        <f>'T1'!E29</f>
        <v>0</v>
      </c>
      <c r="N28" s="106" t="str">
        <f>'T1'!T29</f>
        <v>NUM</v>
      </c>
      <c r="O28" s="106" t="e">
        <f>'T1'!S29</f>
        <v>#VALUE!</v>
      </c>
      <c r="P28" s="106">
        <f>'T2'!M29</f>
        <v>0</v>
      </c>
      <c r="Q28" s="106">
        <f>'T2'!E29</f>
        <v>0</v>
      </c>
      <c r="R28" s="106" t="str">
        <f>'T2'!R29</f>
        <v>NUM</v>
      </c>
      <c r="S28" s="106" t="e">
        <f>'T2'!Q29</f>
        <v>#VALUE!</v>
      </c>
      <c r="T28" s="106" t="e">
        <f t="shared" si="14"/>
        <v>#VALUE!</v>
      </c>
      <c r="U28" s="114">
        <v>20</v>
      </c>
      <c r="V28" s="106" t="str">
        <f>[1]!hecalc(5,0,1,Q28*100000,2,U28,1)</f>
        <v>NUM</v>
      </c>
      <c r="W28" s="106" t="e">
        <f t="shared" si="15"/>
        <v>#VALUE!</v>
      </c>
      <c r="X28" s="106" t="e">
        <f t="shared" si="16"/>
        <v>#VALUE!</v>
      </c>
      <c r="Y28" s="117" t="e">
        <f t="shared" si="17"/>
        <v>#VALUE!</v>
      </c>
      <c r="Z28" s="113">
        <f t="shared" si="18"/>
        <v>-20</v>
      </c>
      <c r="AA28" s="109">
        <f>'T2'!P29</f>
        <v>0</v>
      </c>
      <c r="AB28" s="108">
        <f t="shared" si="19"/>
        <v>0</v>
      </c>
      <c r="AC28" s="106">
        <f>'T2'!G29</f>
        <v>0</v>
      </c>
      <c r="AD28" s="109" t="str">
        <f>[1]!hecalc(8,0,1,Q28*100000,2,U28,1)</f>
        <v>NUM</v>
      </c>
      <c r="AE28" s="109" t="str">
        <f>[1]!hecalc(9,0,1,Q28*100000,2,U28,1)</f>
        <v>NUM</v>
      </c>
      <c r="AF28" s="109" t="e">
        <f>AE28-[1]!hecalc(9,0,1,AC28*100000,8,AD28,1)</f>
        <v>#VALUE!</v>
      </c>
      <c r="AG28" s="108" t="e">
        <f t="shared" si="20"/>
        <v>#VALUE!</v>
      </c>
      <c r="AH28" s="106" t="e">
        <f t="shared" si="21"/>
        <v>#VALUE!</v>
      </c>
      <c r="AI28" s="106" t="e">
        <f>AH28/'T2'!U1C0_thT2</f>
        <v>#VALUE!</v>
      </c>
      <c r="AJ28" s="110" t="e">
        <f>(0.321*AI28^4-1.6098*AI28^3+1.316*AI28^2+0.9448*AI28)*('T2'!Rendement_thT2/0.97)</f>
        <v>#VALUE!</v>
      </c>
      <c r="AK28" s="109" t="e">
        <f>'T1'!AB29*1000</f>
        <v>#VALUE!</v>
      </c>
      <c r="AL28" s="109" t="e">
        <f t="shared" si="22"/>
        <v>#VALUE!</v>
      </c>
      <c r="AM28" s="109" t="e">
        <f t="shared" si="23"/>
        <v>#VALUE!</v>
      </c>
      <c r="AN28" s="112" t="e">
        <f>[1]!hecalc(2,0,1,AC28*100000,9,AM28,1)</f>
        <v>#VALUE!</v>
      </c>
      <c r="AO28" s="108">
        <f>'T2'!N29</f>
        <v>0</v>
      </c>
      <c r="AP28" s="113" t="e">
        <f t="shared" si="24"/>
        <v>#VALUE!</v>
      </c>
    </row>
    <row r="29" spans="1:42" s="50" customFormat="1">
      <c r="A29" s="103">
        <f>'T1'!A30</f>
        <v>0</v>
      </c>
      <c r="B29" s="104">
        <f>'T1'!B30</f>
        <v>0</v>
      </c>
      <c r="C29" s="105">
        <f>'T1'!C30</f>
        <v>0</v>
      </c>
      <c r="D29" s="106">
        <f>'T1'!N30</f>
        <v>0</v>
      </c>
      <c r="E29" s="106" t="e">
        <f>'T1'!AE30</f>
        <v>#VALUE!</v>
      </c>
      <c r="F29" s="106" t="e">
        <f t="shared" si="12"/>
        <v>#VALUE!</v>
      </c>
      <c r="G29" s="110" t="e">
        <f t="shared" si="1"/>
        <v>#VALUE!</v>
      </c>
      <c r="H29" s="106">
        <f>'T1'!O30</f>
        <v>0</v>
      </c>
      <c r="I29" s="132" t="e">
        <f>[1]!hecalc(2,0,1,'T1'!H30*100000,9,'T1'!U30-'Recalage Tout T2'!G29*'T1'!Z30,1)</f>
        <v>#VALUE!</v>
      </c>
      <c r="J29" s="113" t="e">
        <f t="shared" si="13"/>
        <v>#VALUE!</v>
      </c>
      <c r="K29" s="123" t="e">
        <f>G29*'T1'!Z30/1000*'Recalage Tout T2'!O29/1000</f>
        <v>#VALUE!</v>
      </c>
      <c r="L29" s="131" t="e">
        <f>(K29-'T1'!AB30)/'T1'!$AB$19</f>
        <v>#VALUE!</v>
      </c>
      <c r="M29" s="106">
        <f>'T1'!E30</f>
        <v>0</v>
      </c>
      <c r="N29" s="106" t="str">
        <f>'T1'!T30</f>
        <v>NUM</v>
      </c>
      <c r="O29" s="106" t="e">
        <f>'T1'!S30</f>
        <v>#VALUE!</v>
      </c>
      <c r="P29" s="106">
        <f>'T2'!M30</f>
        <v>0</v>
      </c>
      <c r="Q29" s="106">
        <f>'T2'!E30</f>
        <v>0</v>
      </c>
      <c r="R29" s="106" t="str">
        <f>'T2'!R30</f>
        <v>NUM</v>
      </c>
      <c r="S29" s="106" t="e">
        <f>'T2'!Q30</f>
        <v>#VALUE!</v>
      </c>
      <c r="T29" s="106" t="e">
        <f t="shared" si="14"/>
        <v>#VALUE!</v>
      </c>
      <c r="U29" s="114">
        <v>20</v>
      </c>
      <c r="V29" s="106" t="str">
        <f>[1]!hecalc(5,0,1,Q29*100000,2,U29,1)</f>
        <v>NUM</v>
      </c>
      <c r="W29" s="106" t="e">
        <f t="shared" si="15"/>
        <v>#VALUE!</v>
      </c>
      <c r="X29" s="106" t="e">
        <f t="shared" si="16"/>
        <v>#VALUE!</v>
      </c>
      <c r="Y29" s="117" t="e">
        <f t="shared" si="17"/>
        <v>#VALUE!</v>
      </c>
      <c r="Z29" s="113">
        <f t="shared" si="18"/>
        <v>-20</v>
      </c>
      <c r="AA29" s="109">
        <f>'T2'!P30</f>
        <v>0</v>
      </c>
      <c r="AB29" s="108">
        <f t="shared" si="19"/>
        <v>0</v>
      </c>
      <c r="AC29" s="106">
        <f>'T2'!G30</f>
        <v>0</v>
      </c>
      <c r="AD29" s="109" t="str">
        <f>[1]!hecalc(8,0,1,Q29*100000,2,U29,1)</f>
        <v>NUM</v>
      </c>
      <c r="AE29" s="109" t="str">
        <f>[1]!hecalc(9,0,1,Q29*100000,2,U29,1)</f>
        <v>NUM</v>
      </c>
      <c r="AF29" s="109" t="e">
        <f>AE29-[1]!hecalc(9,0,1,AC29*100000,8,AD29,1)</f>
        <v>#VALUE!</v>
      </c>
      <c r="AG29" s="108" t="e">
        <f t="shared" si="20"/>
        <v>#VALUE!</v>
      </c>
      <c r="AH29" s="106" t="e">
        <f t="shared" si="21"/>
        <v>#VALUE!</v>
      </c>
      <c r="AI29" s="106" t="e">
        <f>AH29/'T2'!U1C0_thT2</f>
        <v>#VALUE!</v>
      </c>
      <c r="AJ29" s="110" t="e">
        <f>(0.321*AI29^4-1.6098*AI29^3+1.316*AI29^2+0.9448*AI29)*('T2'!Rendement_thT2/0.97)</f>
        <v>#VALUE!</v>
      </c>
      <c r="AK29" s="109" t="e">
        <f>'T1'!AB30*1000</f>
        <v>#VALUE!</v>
      </c>
      <c r="AL29" s="109" t="e">
        <f t="shared" si="22"/>
        <v>#VALUE!</v>
      </c>
      <c r="AM29" s="109" t="e">
        <f t="shared" si="23"/>
        <v>#VALUE!</v>
      </c>
      <c r="AN29" s="112" t="e">
        <f>[1]!hecalc(2,0,1,AC29*100000,9,AM29,1)</f>
        <v>#VALUE!</v>
      </c>
      <c r="AO29" s="108">
        <f>'T2'!N30</f>
        <v>0</v>
      </c>
      <c r="AP29" s="113" t="e">
        <f t="shared" si="24"/>
        <v>#VALUE!</v>
      </c>
    </row>
    <row r="30" spans="1:42" s="50" customFormat="1">
      <c r="A30" s="103">
        <f>'T1'!A31</f>
        <v>0</v>
      </c>
      <c r="B30" s="104">
        <f>'T1'!B31</f>
        <v>0</v>
      </c>
      <c r="C30" s="105">
        <f>'T1'!C31</f>
        <v>0</v>
      </c>
      <c r="D30" s="106">
        <f>'T1'!N31</f>
        <v>0</v>
      </c>
      <c r="E30" s="106" t="e">
        <f>'T1'!AE31</f>
        <v>#VALUE!</v>
      </c>
      <c r="F30" s="106" t="e">
        <f t="shared" si="12"/>
        <v>#VALUE!</v>
      </c>
      <c r="G30" s="110" t="e">
        <f t="shared" si="1"/>
        <v>#VALUE!</v>
      </c>
      <c r="H30" s="106">
        <f>'T1'!O31</f>
        <v>0</v>
      </c>
      <c r="I30" s="132" t="e">
        <f>[1]!hecalc(2,0,1,'T1'!H31*100000,9,'T1'!U31-'Recalage Tout T2'!G30*'T1'!Z31,1)</f>
        <v>#VALUE!</v>
      </c>
      <c r="J30" s="113" t="e">
        <f t="shared" si="13"/>
        <v>#VALUE!</v>
      </c>
      <c r="K30" s="123" t="e">
        <f>G30*'T1'!Z31/1000*'Recalage Tout T2'!O30/1000</f>
        <v>#VALUE!</v>
      </c>
      <c r="L30" s="131" t="e">
        <f>(K30-'T1'!AB31)/'T1'!$AB$19</f>
        <v>#VALUE!</v>
      </c>
      <c r="M30" s="106">
        <f>'T1'!E31</f>
        <v>0</v>
      </c>
      <c r="N30" s="106" t="str">
        <f>'T1'!T31</f>
        <v>NUM</v>
      </c>
      <c r="O30" s="106" t="e">
        <f>'T1'!S31</f>
        <v>#VALUE!</v>
      </c>
      <c r="P30" s="106">
        <f>'T2'!M31</f>
        <v>0</v>
      </c>
      <c r="Q30" s="106">
        <f>'T2'!E31</f>
        <v>0</v>
      </c>
      <c r="R30" s="106" t="str">
        <f>'T2'!R31</f>
        <v>NUM</v>
      </c>
      <c r="S30" s="106" t="e">
        <f>'T2'!Q31</f>
        <v>#VALUE!</v>
      </c>
      <c r="T30" s="106" t="e">
        <f t="shared" si="14"/>
        <v>#VALUE!</v>
      </c>
      <c r="U30" s="114">
        <v>20</v>
      </c>
      <c r="V30" s="106" t="str">
        <f>[1]!hecalc(5,0,1,Q30*100000,2,U30,1)</f>
        <v>NUM</v>
      </c>
      <c r="W30" s="106" t="e">
        <f t="shared" si="15"/>
        <v>#VALUE!</v>
      </c>
      <c r="X30" s="106" t="e">
        <f t="shared" si="16"/>
        <v>#VALUE!</v>
      </c>
      <c r="Y30" s="117" t="e">
        <f t="shared" si="17"/>
        <v>#VALUE!</v>
      </c>
      <c r="Z30" s="113">
        <f t="shared" si="18"/>
        <v>-20</v>
      </c>
      <c r="AA30" s="109">
        <f>'T2'!P31</f>
        <v>0</v>
      </c>
      <c r="AB30" s="108">
        <f t="shared" si="19"/>
        <v>0</v>
      </c>
      <c r="AC30" s="106">
        <f>'T2'!G31</f>
        <v>0</v>
      </c>
      <c r="AD30" s="109" t="str">
        <f>[1]!hecalc(8,0,1,Q30*100000,2,U30,1)</f>
        <v>NUM</v>
      </c>
      <c r="AE30" s="109" t="str">
        <f>[1]!hecalc(9,0,1,Q30*100000,2,U30,1)</f>
        <v>NUM</v>
      </c>
      <c r="AF30" s="109" t="e">
        <f>AE30-[1]!hecalc(9,0,1,AC30*100000,8,AD30,1)</f>
        <v>#VALUE!</v>
      </c>
      <c r="AG30" s="108" t="e">
        <f t="shared" si="20"/>
        <v>#VALUE!</v>
      </c>
      <c r="AH30" s="106" t="e">
        <f t="shared" si="21"/>
        <v>#VALUE!</v>
      </c>
      <c r="AI30" s="106" t="e">
        <f>AH30/'T2'!U1C0_thT2</f>
        <v>#VALUE!</v>
      </c>
      <c r="AJ30" s="110" t="e">
        <f>(0.321*AI30^4-1.6098*AI30^3+1.316*AI30^2+0.9448*AI30)*('T2'!Rendement_thT2/0.97)</f>
        <v>#VALUE!</v>
      </c>
      <c r="AK30" s="109" t="e">
        <f>'T1'!AB31*1000</f>
        <v>#VALUE!</v>
      </c>
      <c r="AL30" s="109" t="e">
        <f t="shared" si="22"/>
        <v>#VALUE!</v>
      </c>
      <c r="AM30" s="109" t="e">
        <f t="shared" si="23"/>
        <v>#VALUE!</v>
      </c>
      <c r="AN30" s="112" t="e">
        <f>[1]!hecalc(2,0,1,AC30*100000,9,AM30,1)</f>
        <v>#VALUE!</v>
      </c>
      <c r="AO30" s="108">
        <f>'T2'!N31</f>
        <v>0</v>
      </c>
      <c r="AP30" s="113" t="e">
        <f t="shared" si="24"/>
        <v>#VALUE!</v>
      </c>
    </row>
    <row r="31" spans="1:42" s="50" customFormat="1">
      <c r="A31" s="103">
        <f>'T1'!A32</f>
        <v>0</v>
      </c>
      <c r="B31" s="104">
        <f>'T1'!B32</f>
        <v>0</v>
      </c>
      <c r="C31" s="105">
        <f>'T1'!C32</f>
        <v>0</v>
      </c>
      <c r="D31" s="106">
        <f>'T1'!N32</f>
        <v>0</v>
      </c>
      <c r="E31" s="106" t="e">
        <f>'T1'!AE32</f>
        <v>#VALUE!</v>
      </c>
      <c r="F31" s="106" t="e">
        <f t="shared" si="12"/>
        <v>#VALUE!</v>
      </c>
      <c r="G31" s="110" t="e">
        <f t="shared" si="1"/>
        <v>#VALUE!</v>
      </c>
      <c r="H31" s="106">
        <f>'T1'!O32</f>
        <v>0</v>
      </c>
      <c r="I31" s="132" t="e">
        <f>[1]!hecalc(2,0,1,'T1'!H32*100000,9,'T1'!U32-'Recalage Tout T2'!G31*'T1'!Z32,1)</f>
        <v>#VALUE!</v>
      </c>
      <c r="J31" s="113" t="e">
        <f t="shared" si="13"/>
        <v>#VALUE!</v>
      </c>
      <c r="K31" s="123" t="e">
        <f>G31*'T1'!Z32/1000*'Recalage Tout T2'!O31/1000</f>
        <v>#VALUE!</v>
      </c>
      <c r="L31" s="131" t="e">
        <f>(K31-'T1'!AB32)/'T1'!$AB$19</f>
        <v>#VALUE!</v>
      </c>
      <c r="M31" s="106">
        <f>'T1'!E32</f>
        <v>0</v>
      </c>
      <c r="N31" s="106" t="str">
        <f>'T1'!T32</f>
        <v>NUM</v>
      </c>
      <c r="O31" s="106" t="e">
        <f>'T1'!S32</f>
        <v>#VALUE!</v>
      </c>
      <c r="P31" s="106">
        <f>'T2'!M32</f>
        <v>0</v>
      </c>
      <c r="Q31" s="106">
        <f>'T2'!E32</f>
        <v>0</v>
      </c>
      <c r="R31" s="106" t="str">
        <f>'T2'!R32</f>
        <v>NUM</v>
      </c>
      <c r="S31" s="106" t="e">
        <f>'T2'!Q32</f>
        <v>#VALUE!</v>
      </c>
      <c r="T31" s="106" t="e">
        <f t="shared" si="14"/>
        <v>#VALUE!</v>
      </c>
      <c r="U31" s="114">
        <v>20</v>
      </c>
      <c r="V31" s="106" t="str">
        <f>[1]!hecalc(5,0,1,Q31*100000,2,U31,1)</f>
        <v>NUM</v>
      </c>
      <c r="W31" s="106" t="e">
        <f t="shared" si="15"/>
        <v>#VALUE!</v>
      </c>
      <c r="X31" s="106" t="e">
        <f t="shared" si="16"/>
        <v>#VALUE!</v>
      </c>
      <c r="Y31" s="117" t="e">
        <f t="shared" si="17"/>
        <v>#VALUE!</v>
      </c>
      <c r="Z31" s="113">
        <f t="shared" si="18"/>
        <v>-20</v>
      </c>
      <c r="AA31" s="109">
        <f>'T2'!P32</f>
        <v>0</v>
      </c>
      <c r="AB31" s="108">
        <f t="shared" si="19"/>
        <v>0</v>
      </c>
      <c r="AC31" s="106">
        <f>'T2'!G32</f>
        <v>0</v>
      </c>
      <c r="AD31" s="109" t="str">
        <f>[1]!hecalc(8,0,1,Q31*100000,2,U31,1)</f>
        <v>NUM</v>
      </c>
      <c r="AE31" s="109" t="str">
        <f>[1]!hecalc(9,0,1,Q31*100000,2,U31,1)</f>
        <v>NUM</v>
      </c>
      <c r="AF31" s="109" t="e">
        <f>AE31-[1]!hecalc(9,0,1,AC31*100000,8,AD31,1)</f>
        <v>#VALUE!</v>
      </c>
      <c r="AG31" s="108" t="e">
        <f t="shared" si="20"/>
        <v>#VALUE!</v>
      </c>
      <c r="AH31" s="106" t="e">
        <f t="shared" si="21"/>
        <v>#VALUE!</v>
      </c>
      <c r="AI31" s="106" t="e">
        <f>AH31/'T2'!U1C0_thT2</f>
        <v>#VALUE!</v>
      </c>
      <c r="AJ31" s="110" t="e">
        <f>(0.321*AI31^4-1.6098*AI31^3+1.316*AI31^2+0.9448*AI31)*('T2'!Rendement_thT2/0.97)</f>
        <v>#VALUE!</v>
      </c>
      <c r="AK31" s="109" t="e">
        <f>'T1'!AB32*1000</f>
        <v>#VALUE!</v>
      </c>
      <c r="AL31" s="109" t="e">
        <f t="shared" si="22"/>
        <v>#VALUE!</v>
      </c>
      <c r="AM31" s="109" t="e">
        <f t="shared" si="23"/>
        <v>#VALUE!</v>
      </c>
      <c r="AN31" s="112" t="e">
        <f>[1]!hecalc(2,0,1,AC31*100000,9,AM31,1)</f>
        <v>#VALUE!</v>
      </c>
      <c r="AO31" s="108">
        <f>'T2'!N32</f>
        <v>0</v>
      </c>
      <c r="AP31" s="113" t="e">
        <f t="shared" si="24"/>
        <v>#VALUE!</v>
      </c>
    </row>
    <row r="32" spans="1:42" s="50" customFormat="1">
      <c r="A32" s="103">
        <f>'T1'!A33</f>
        <v>0</v>
      </c>
      <c r="B32" s="104">
        <f>'T1'!B33</f>
        <v>0</v>
      </c>
      <c r="C32" s="105">
        <f>'T1'!C33</f>
        <v>0</v>
      </c>
      <c r="D32" s="106">
        <f>'T1'!N33</f>
        <v>0</v>
      </c>
      <c r="E32" s="106" t="e">
        <f>'T1'!AE33</f>
        <v>#VALUE!</v>
      </c>
      <c r="F32" s="106" t="e">
        <f t="shared" si="12"/>
        <v>#VALUE!</v>
      </c>
      <c r="G32" s="110" t="e">
        <f t="shared" si="1"/>
        <v>#VALUE!</v>
      </c>
      <c r="H32" s="106">
        <f>'T1'!O33</f>
        <v>0</v>
      </c>
      <c r="I32" s="132" t="e">
        <f>[1]!hecalc(2,0,1,'T1'!H33*100000,9,'T1'!U33-'Recalage Tout T2'!G32*'T1'!Z33,1)</f>
        <v>#VALUE!</v>
      </c>
      <c r="J32" s="113" t="e">
        <f t="shared" si="13"/>
        <v>#VALUE!</v>
      </c>
      <c r="K32" s="123" t="e">
        <f>G32*'T1'!Z33/1000*'Recalage Tout T2'!O32/1000</f>
        <v>#VALUE!</v>
      </c>
      <c r="L32" s="131" t="e">
        <f>(K32-'T1'!AB33)/'T1'!$AB$19</f>
        <v>#VALUE!</v>
      </c>
      <c r="M32" s="106">
        <f>'T1'!E33</f>
        <v>0</v>
      </c>
      <c r="N32" s="106" t="str">
        <f>'T1'!T33</f>
        <v>NUM</v>
      </c>
      <c r="O32" s="106" t="e">
        <f>'T1'!S33</f>
        <v>#VALUE!</v>
      </c>
      <c r="P32" s="106">
        <f>'T2'!M33</f>
        <v>0</v>
      </c>
      <c r="Q32" s="106">
        <f>'T2'!E33</f>
        <v>0</v>
      </c>
      <c r="R32" s="106" t="str">
        <f>'T2'!R33</f>
        <v>NUM</v>
      </c>
      <c r="S32" s="106" t="e">
        <f>'T2'!Q33</f>
        <v>#VALUE!</v>
      </c>
      <c r="T32" s="106" t="e">
        <f t="shared" si="14"/>
        <v>#VALUE!</v>
      </c>
      <c r="U32" s="114">
        <v>20</v>
      </c>
      <c r="V32" s="106" t="str">
        <f>[1]!hecalc(5,0,1,Q32*100000,2,U32,1)</f>
        <v>NUM</v>
      </c>
      <c r="W32" s="106" t="e">
        <f t="shared" si="15"/>
        <v>#VALUE!</v>
      </c>
      <c r="X32" s="106" t="e">
        <f t="shared" si="16"/>
        <v>#VALUE!</v>
      </c>
      <c r="Y32" s="117" t="e">
        <f t="shared" si="17"/>
        <v>#VALUE!</v>
      </c>
      <c r="Z32" s="113">
        <f t="shared" si="18"/>
        <v>-20</v>
      </c>
      <c r="AA32" s="109">
        <f>'T2'!P33</f>
        <v>0</v>
      </c>
      <c r="AB32" s="108">
        <f t="shared" si="19"/>
        <v>0</v>
      </c>
      <c r="AC32" s="106">
        <f>'T2'!G33</f>
        <v>0</v>
      </c>
      <c r="AD32" s="109" t="str">
        <f>[1]!hecalc(8,0,1,Q32*100000,2,U32,1)</f>
        <v>NUM</v>
      </c>
      <c r="AE32" s="109" t="str">
        <f>[1]!hecalc(9,0,1,Q32*100000,2,U32,1)</f>
        <v>NUM</v>
      </c>
      <c r="AF32" s="109" t="e">
        <f>AE32-[1]!hecalc(9,0,1,AC32*100000,8,AD32,1)</f>
        <v>#VALUE!</v>
      </c>
      <c r="AG32" s="108" t="e">
        <f t="shared" si="20"/>
        <v>#VALUE!</v>
      </c>
      <c r="AH32" s="106" t="e">
        <f t="shared" si="21"/>
        <v>#VALUE!</v>
      </c>
      <c r="AI32" s="106" t="e">
        <f>AH32/'T2'!U1C0_thT2</f>
        <v>#VALUE!</v>
      </c>
      <c r="AJ32" s="110" t="e">
        <f>(0.321*AI32^4-1.6098*AI32^3+1.316*AI32^2+0.9448*AI32)*('T2'!Rendement_thT2/0.97)</f>
        <v>#VALUE!</v>
      </c>
      <c r="AK32" s="109" t="e">
        <f>'T1'!AB33*1000</f>
        <v>#VALUE!</v>
      </c>
      <c r="AL32" s="109" t="e">
        <f t="shared" si="22"/>
        <v>#VALUE!</v>
      </c>
      <c r="AM32" s="109" t="e">
        <f t="shared" si="23"/>
        <v>#VALUE!</v>
      </c>
      <c r="AN32" s="112" t="e">
        <f>[1]!hecalc(2,0,1,AC32*100000,9,AM32,1)</f>
        <v>#VALUE!</v>
      </c>
      <c r="AO32" s="108">
        <f>'T2'!N33</f>
        <v>0</v>
      </c>
      <c r="AP32" s="113" t="e">
        <f t="shared" si="24"/>
        <v>#VALUE!</v>
      </c>
    </row>
    <row r="33" spans="1:42" s="50" customFormat="1">
      <c r="A33" s="103">
        <f>'T1'!A34</f>
        <v>0</v>
      </c>
      <c r="B33" s="104">
        <f>'T1'!B34</f>
        <v>0</v>
      </c>
      <c r="C33" s="105">
        <f>'T1'!C34</f>
        <v>0</v>
      </c>
      <c r="D33" s="106">
        <f>'T1'!N34</f>
        <v>0</v>
      </c>
      <c r="E33" s="106" t="e">
        <f>'T1'!AE34</f>
        <v>#VALUE!</v>
      </c>
      <c r="F33" s="106" t="e">
        <f t="shared" si="12"/>
        <v>#VALUE!</v>
      </c>
      <c r="G33" s="110" t="e">
        <f t="shared" si="1"/>
        <v>#VALUE!</v>
      </c>
      <c r="H33" s="106">
        <f>'T1'!O34</f>
        <v>0</v>
      </c>
      <c r="I33" s="132" t="e">
        <f>[1]!hecalc(2,0,1,'T1'!H34*100000,9,'T1'!U34-'Recalage Tout T2'!G33*'T1'!Z34,1)</f>
        <v>#VALUE!</v>
      </c>
      <c r="J33" s="113" t="e">
        <f t="shared" si="13"/>
        <v>#VALUE!</v>
      </c>
      <c r="K33" s="123" t="e">
        <f>G33*'T1'!Z34/1000*'Recalage Tout T2'!O33/1000</f>
        <v>#VALUE!</v>
      </c>
      <c r="L33" s="131" t="e">
        <f>(K33-'T1'!AB34)/'T1'!$AB$19</f>
        <v>#VALUE!</v>
      </c>
      <c r="M33" s="106">
        <f>'T1'!E34</f>
        <v>0</v>
      </c>
      <c r="N33" s="106" t="str">
        <f>'T1'!T34</f>
        <v>NUM</v>
      </c>
      <c r="O33" s="106" t="e">
        <f>'T1'!S34</f>
        <v>#VALUE!</v>
      </c>
      <c r="P33" s="106">
        <f>'T2'!M34</f>
        <v>0</v>
      </c>
      <c r="Q33" s="106">
        <f>'T2'!E34</f>
        <v>0</v>
      </c>
      <c r="R33" s="106" t="str">
        <f>'T2'!R34</f>
        <v>NUM</v>
      </c>
      <c r="S33" s="106" t="e">
        <f>'T2'!Q34</f>
        <v>#VALUE!</v>
      </c>
      <c r="T33" s="106" t="e">
        <f t="shared" si="14"/>
        <v>#VALUE!</v>
      </c>
      <c r="U33" s="114">
        <v>20</v>
      </c>
      <c r="V33" s="106" t="str">
        <f>[1]!hecalc(5,0,1,Q33*100000,2,U33,1)</f>
        <v>NUM</v>
      </c>
      <c r="W33" s="106" t="e">
        <f t="shared" si="15"/>
        <v>#VALUE!</v>
      </c>
      <c r="X33" s="106" t="e">
        <f t="shared" si="16"/>
        <v>#VALUE!</v>
      </c>
      <c r="Y33" s="117" t="e">
        <f t="shared" si="17"/>
        <v>#VALUE!</v>
      </c>
      <c r="Z33" s="113">
        <f t="shared" si="18"/>
        <v>-20</v>
      </c>
      <c r="AA33" s="109">
        <f>'T2'!P34</f>
        <v>0</v>
      </c>
      <c r="AB33" s="108">
        <f t="shared" si="19"/>
        <v>0</v>
      </c>
      <c r="AC33" s="106">
        <f>'T2'!G34</f>
        <v>0</v>
      </c>
      <c r="AD33" s="109" t="str">
        <f>[1]!hecalc(8,0,1,Q33*100000,2,U33,1)</f>
        <v>NUM</v>
      </c>
      <c r="AE33" s="109" t="str">
        <f>[1]!hecalc(9,0,1,Q33*100000,2,U33,1)</f>
        <v>NUM</v>
      </c>
      <c r="AF33" s="109" t="e">
        <f>AE33-[1]!hecalc(9,0,1,AC33*100000,8,AD33,1)</f>
        <v>#VALUE!</v>
      </c>
      <c r="AG33" s="108" t="e">
        <f t="shared" si="20"/>
        <v>#VALUE!</v>
      </c>
      <c r="AH33" s="106" t="e">
        <f t="shared" si="21"/>
        <v>#VALUE!</v>
      </c>
      <c r="AI33" s="106" t="e">
        <f>AH33/'T2'!U1C0_thT2</f>
        <v>#VALUE!</v>
      </c>
      <c r="AJ33" s="110" t="e">
        <f>(0.321*AI33^4-1.6098*AI33^3+1.316*AI33^2+0.9448*AI33)*('T2'!Rendement_thT2/0.97)</f>
        <v>#VALUE!</v>
      </c>
      <c r="AK33" s="109" t="e">
        <f>'T1'!AB34*1000</f>
        <v>#VALUE!</v>
      </c>
      <c r="AL33" s="109" t="e">
        <f t="shared" si="22"/>
        <v>#VALUE!</v>
      </c>
      <c r="AM33" s="109" t="e">
        <f t="shared" si="23"/>
        <v>#VALUE!</v>
      </c>
      <c r="AN33" s="112" t="e">
        <f>[1]!hecalc(2,0,1,AC33*100000,9,AM33,1)</f>
        <v>#VALUE!</v>
      </c>
      <c r="AO33" s="108">
        <f>'T2'!N34</f>
        <v>0</v>
      </c>
      <c r="AP33" s="113" t="e">
        <f t="shared" si="24"/>
        <v>#VALUE!</v>
      </c>
    </row>
    <row r="34" spans="1:42" s="50" customFormat="1">
      <c r="A34" s="103">
        <f>'T1'!A35</f>
        <v>0</v>
      </c>
      <c r="B34" s="104">
        <f>'T1'!B35</f>
        <v>0</v>
      </c>
      <c r="C34" s="105">
        <f>'T1'!C35</f>
        <v>0</v>
      </c>
      <c r="D34" s="106">
        <f>'T1'!N35</f>
        <v>0</v>
      </c>
      <c r="E34" s="106" t="e">
        <f>'T1'!AE35</f>
        <v>#VALUE!</v>
      </c>
      <c r="F34" s="106" t="e">
        <f t="shared" si="12"/>
        <v>#VALUE!</v>
      </c>
      <c r="G34" s="110" t="e">
        <f t="shared" si="1"/>
        <v>#VALUE!</v>
      </c>
      <c r="H34" s="106">
        <f>'T1'!O35</f>
        <v>0</v>
      </c>
      <c r="I34" s="132" t="e">
        <f>[1]!hecalc(2,0,1,'T1'!H35*100000,9,'T1'!U35-'Recalage Tout T2'!G34*'T1'!Z35,1)</f>
        <v>#VALUE!</v>
      </c>
      <c r="J34" s="113" t="e">
        <f t="shared" si="13"/>
        <v>#VALUE!</v>
      </c>
      <c r="K34" s="123" t="e">
        <f>G34*'T1'!Z35/1000*'Recalage Tout T2'!O34/1000</f>
        <v>#VALUE!</v>
      </c>
      <c r="L34" s="131" t="e">
        <f>(K34-'T1'!AB35)/'T1'!$AB$19</f>
        <v>#VALUE!</v>
      </c>
      <c r="M34" s="106">
        <f>'T1'!E35</f>
        <v>0</v>
      </c>
      <c r="N34" s="106" t="str">
        <f>'T1'!T35</f>
        <v>NUM</v>
      </c>
      <c r="O34" s="106" t="e">
        <f>'T1'!S35</f>
        <v>#VALUE!</v>
      </c>
      <c r="P34" s="106">
        <f>'T2'!M35</f>
        <v>0</v>
      </c>
      <c r="Q34" s="106">
        <f>'T2'!E35</f>
        <v>0</v>
      </c>
      <c r="R34" s="106" t="str">
        <f>'T2'!R35</f>
        <v>NUM</v>
      </c>
      <c r="S34" s="106" t="e">
        <f>'T2'!Q35</f>
        <v>#VALUE!</v>
      </c>
      <c r="T34" s="106" t="e">
        <f t="shared" si="14"/>
        <v>#VALUE!</v>
      </c>
      <c r="U34" s="114">
        <v>20</v>
      </c>
      <c r="V34" s="106" t="str">
        <f>[1]!hecalc(5,0,1,Q34*100000,2,U34,1)</f>
        <v>NUM</v>
      </c>
      <c r="W34" s="106" t="e">
        <f t="shared" si="15"/>
        <v>#VALUE!</v>
      </c>
      <c r="X34" s="106" t="e">
        <f t="shared" si="16"/>
        <v>#VALUE!</v>
      </c>
      <c r="Y34" s="117" t="e">
        <f t="shared" si="17"/>
        <v>#VALUE!</v>
      </c>
      <c r="Z34" s="113">
        <f t="shared" si="18"/>
        <v>-20</v>
      </c>
      <c r="AA34" s="109">
        <f>'T2'!P35</f>
        <v>0</v>
      </c>
      <c r="AB34" s="108">
        <f t="shared" si="19"/>
        <v>0</v>
      </c>
      <c r="AC34" s="106">
        <f>'T2'!G35</f>
        <v>0</v>
      </c>
      <c r="AD34" s="109" t="str">
        <f>[1]!hecalc(8,0,1,Q34*100000,2,U34,1)</f>
        <v>NUM</v>
      </c>
      <c r="AE34" s="109" t="str">
        <f>[1]!hecalc(9,0,1,Q34*100000,2,U34,1)</f>
        <v>NUM</v>
      </c>
      <c r="AF34" s="109" t="e">
        <f>AE34-[1]!hecalc(9,0,1,AC34*100000,8,AD34,1)</f>
        <v>#VALUE!</v>
      </c>
      <c r="AG34" s="108" t="e">
        <f t="shared" si="20"/>
        <v>#VALUE!</v>
      </c>
      <c r="AH34" s="106" t="e">
        <f t="shared" si="21"/>
        <v>#VALUE!</v>
      </c>
      <c r="AI34" s="106" t="e">
        <f>AH34/'T2'!U1C0_thT2</f>
        <v>#VALUE!</v>
      </c>
      <c r="AJ34" s="110" t="e">
        <f>(0.321*AI34^4-1.6098*AI34^3+1.316*AI34^2+0.9448*AI34)*('T2'!Rendement_thT2/0.97)</f>
        <v>#VALUE!</v>
      </c>
      <c r="AK34" s="109" t="e">
        <f>'T1'!AB35*1000</f>
        <v>#VALUE!</v>
      </c>
      <c r="AL34" s="109" t="e">
        <f t="shared" si="22"/>
        <v>#VALUE!</v>
      </c>
      <c r="AM34" s="109" t="e">
        <f t="shared" si="23"/>
        <v>#VALUE!</v>
      </c>
      <c r="AN34" s="112" t="e">
        <f>[1]!hecalc(2,0,1,AC34*100000,9,AM34,1)</f>
        <v>#VALUE!</v>
      </c>
      <c r="AO34" s="108">
        <f>'T2'!N35</f>
        <v>0</v>
      </c>
      <c r="AP34" s="113" t="e">
        <f t="shared" si="24"/>
        <v>#VALUE!</v>
      </c>
    </row>
    <row r="35" spans="1:42" s="50" customFormat="1">
      <c r="A35" s="103">
        <f>'T1'!A36</f>
        <v>0</v>
      </c>
      <c r="B35" s="104">
        <f>'T1'!B36</f>
        <v>0</v>
      </c>
      <c r="C35" s="105">
        <f>'T1'!C36</f>
        <v>0</v>
      </c>
      <c r="D35" s="106">
        <f>'T1'!N36</f>
        <v>0</v>
      </c>
      <c r="E35" s="106">
        <f>'T1'!AE36</f>
        <v>0</v>
      </c>
      <c r="F35" s="106">
        <f t="shared" si="12"/>
        <v>0</v>
      </c>
      <c r="G35" s="110">
        <f t="shared" si="1"/>
        <v>0</v>
      </c>
      <c r="H35" s="106">
        <f>'T1'!O36</f>
        <v>0</v>
      </c>
      <c r="I35" s="132" t="str">
        <f>[1]!hecalc(2,0,1,'T1'!H36*100000,9,'T1'!U36-'Recalage Tout T2'!G35*'T1'!Z36,1)</f>
        <v>NUM</v>
      </c>
      <c r="J35" s="113" t="e">
        <f t="shared" si="13"/>
        <v>#VALUE!</v>
      </c>
      <c r="K35" s="123">
        <f>G35*'T1'!Z36/1000*'Recalage Tout T2'!O35/1000</f>
        <v>0</v>
      </c>
      <c r="L35" s="131">
        <f>(K35-'T1'!AB36)/'T1'!$AB$19</f>
        <v>0</v>
      </c>
      <c r="M35" s="106">
        <f>'T1'!E36</f>
        <v>0</v>
      </c>
      <c r="N35" s="106">
        <f>'T1'!T36</f>
        <v>0</v>
      </c>
      <c r="O35" s="106">
        <f>'T1'!S36</f>
        <v>0</v>
      </c>
      <c r="P35" s="106">
        <f>'T2'!M36</f>
        <v>0</v>
      </c>
      <c r="Q35" s="106">
        <f>'T2'!E36</f>
        <v>0</v>
      </c>
      <c r="R35" s="106">
        <f>'T2'!R36</f>
        <v>0</v>
      </c>
      <c r="S35" s="106">
        <f>'T2'!Q36</f>
        <v>0</v>
      </c>
      <c r="T35" s="106">
        <f t="shared" si="14"/>
        <v>0</v>
      </c>
      <c r="U35" s="114">
        <v>20</v>
      </c>
      <c r="V35" s="106" t="str">
        <f>[1]!hecalc(5,0,1,Q35*100000,2,U35,1)</f>
        <v>NUM</v>
      </c>
      <c r="W35" s="106" t="e">
        <f t="shared" si="15"/>
        <v>#VALUE!</v>
      </c>
      <c r="X35" s="106" t="e">
        <f t="shared" si="16"/>
        <v>#VALUE!</v>
      </c>
      <c r="Y35" s="117" t="e">
        <f t="shared" si="17"/>
        <v>#VALUE!</v>
      </c>
      <c r="Z35" s="113">
        <f t="shared" si="18"/>
        <v>-20</v>
      </c>
      <c r="AA35" s="109">
        <f>'T2'!P36</f>
        <v>0</v>
      </c>
      <c r="AB35" s="108">
        <f t="shared" si="19"/>
        <v>0</v>
      </c>
      <c r="AC35" s="106">
        <f>'T2'!G36</f>
        <v>0</v>
      </c>
      <c r="AD35" s="109" t="str">
        <f>[1]!hecalc(8,0,1,Q35*100000,2,U35,1)</f>
        <v>NUM</v>
      </c>
      <c r="AE35" s="109" t="str">
        <f>[1]!hecalc(9,0,1,Q35*100000,2,U35,1)</f>
        <v>NUM</v>
      </c>
      <c r="AF35" s="109" t="e">
        <f>AE35-[1]!hecalc(9,0,1,AC35*100000,8,AD35,1)</f>
        <v>#VALUE!</v>
      </c>
      <c r="AG35" s="108" t="e">
        <f t="shared" si="20"/>
        <v>#VALUE!</v>
      </c>
      <c r="AH35" s="106" t="e">
        <f t="shared" si="21"/>
        <v>#VALUE!</v>
      </c>
      <c r="AI35" s="106" t="e">
        <f>AH35/'T2'!U1C0_thT2</f>
        <v>#VALUE!</v>
      </c>
      <c r="AJ35" s="110" t="e">
        <f>(0.321*AI35^4-1.6098*AI35^3+1.316*AI35^2+0.9448*AI35)*('T2'!Rendement_thT2/0.97)</f>
        <v>#VALUE!</v>
      </c>
      <c r="AK35" s="109">
        <f>'T1'!AB36*1000</f>
        <v>0</v>
      </c>
      <c r="AL35" s="109" t="e">
        <f t="shared" si="22"/>
        <v>#VALUE!</v>
      </c>
      <c r="AM35" s="109" t="e">
        <f t="shared" si="23"/>
        <v>#VALUE!</v>
      </c>
      <c r="AN35" s="112" t="e">
        <f>[1]!hecalc(2,0,1,AC35*100000,9,AM35,1)</f>
        <v>#VALUE!</v>
      </c>
      <c r="AO35" s="108">
        <f>'T2'!N36</f>
        <v>0</v>
      </c>
      <c r="AP35" s="113" t="e">
        <f t="shared" si="24"/>
        <v>#VALUE!</v>
      </c>
    </row>
    <row r="36" spans="1:42" s="50" customFormat="1">
      <c r="A36" s="103">
        <f>'T1'!A37</f>
        <v>0</v>
      </c>
      <c r="B36" s="104">
        <f>'T1'!B37</f>
        <v>0</v>
      </c>
      <c r="C36" s="105">
        <f>'T1'!C37</f>
        <v>0</v>
      </c>
      <c r="D36" s="106">
        <f>'T1'!N37</f>
        <v>0</v>
      </c>
      <c r="E36" s="106">
        <f>'T1'!AE37</f>
        <v>0</v>
      </c>
      <c r="F36" s="106">
        <f t="shared" si="12"/>
        <v>0</v>
      </c>
      <c r="G36" s="110">
        <f t="shared" si="1"/>
        <v>0</v>
      </c>
      <c r="H36" s="106">
        <f>'T1'!O37</f>
        <v>0</v>
      </c>
      <c r="I36" s="132" t="str">
        <f>[1]!hecalc(2,0,1,'T1'!H37*100000,9,'T1'!U37-'Recalage Tout T2'!G36*'T1'!Z37,1)</f>
        <v>NUM</v>
      </c>
      <c r="J36" s="113" t="e">
        <f t="shared" si="13"/>
        <v>#VALUE!</v>
      </c>
      <c r="K36" s="123">
        <f>G36*'T1'!Z37/1000*'Recalage Tout T2'!O36/1000</f>
        <v>0</v>
      </c>
      <c r="L36" s="131">
        <f>(K36-'T1'!AB37)/'T1'!$AB$19</f>
        <v>0</v>
      </c>
      <c r="M36" s="106">
        <f>'T1'!E37</f>
        <v>0</v>
      </c>
      <c r="N36" s="106">
        <f>'T1'!T37</f>
        <v>0</v>
      </c>
      <c r="O36" s="106">
        <f>'T1'!S37</f>
        <v>0</v>
      </c>
      <c r="P36" s="106">
        <f>'T2'!M37</f>
        <v>0</v>
      </c>
      <c r="Q36" s="106">
        <f>'T2'!E37</f>
        <v>0</v>
      </c>
      <c r="R36" s="106">
        <f>'T2'!R37</f>
        <v>0</v>
      </c>
      <c r="S36" s="106">
        <f>'T2'!Q37</f>
        <v>0</v>
      </c>
      <c r="T36" s="106">
        <f t="shared" si="14"/>
        <v>0</v>
      </c>
      <c r="U36" s="114">
        <v>20</v>
      </c>
      <c r="V36" s="106" t="str">
        <f>[1]!hecalc(5,0,1,Q36*100000,2,U36,1)</f>
        <v>NUM</v>
      </c>
      <c r="W36" s="106" t="e">
        <f t="shared" si="15"/>
        <v>#VALUE!</v>
      </c>
      <c r="X36" s="106" t="e">
        <f t="shared" si="16"/>
        <v>#VALUE!</v>
      </c>
      <c r="Y36" s="117" t="e">
        <f t="shared" si="17"/>
        <v>#VALUE!</v>
      </c>
      <c r="Z36" s="113">
        <f t="shared" si="18"/>
        <v>-20</v>
      </c>
      <c r="AA36" s="109">
        <f>'T2'!P37</f>
        <v>0</v>
      </c>
      <c r="AB36" s="108">
        <f t="shared" si="19"/>
        <v>0</v>
      </c>
      <c r="AC36" s="106">
        <f>'T2'!G37</f>
        <v>0</v>
      </c>
      <c r="AD36" s="109" t="str">
        <f>[1]!hecalc(8,0,1,Q36*100000,2,U36,1)</f>
        <v>NUM</v>
      </c>
      <c r="AE36" s="109" t="str">
        <f>[1]!hecalc(9,0,1,Q36*100000,2,U36,1)</f>
        <v>NUM</v>
      </c>
      <c r="AF36" s="109" t="e">
        <f>AE36-[1]!hecalc(9,0,1,AC36*100000,8,AD36,1)</f>
        <v>#VALUE!</v>
      </c>
      <c r="AG36" s="108" t="e">
        <f t="shared" si="20"/>
        <v>#VALUE!</v>
      </c>
      <c r="AH36" s="106" t="e">
        <f t="shared" si="21"/>
        <v>#VALUE!</v>
      </c>
      <c r="AI36" s="106" t="e">
        <f>AH36/'T2'!U1C0_thT2</f>
        <v>#VALUE!</v>
      </c>
      <c r="AJ36" s="110" t="e">
        <f>(0.321*AI36^4-1.6098*AI36^3+1.316*AI36^2+0.9448*AI36)*('T2'!Rendement_thT2/0.97)</f>
        <v>#VALUE!</v>
      </c>
      <c r="AK36" s="109">
        <f>'T1'!AB37*1000</f>
        <v>0</v>
      </c>
      <c r="AL36" s="109" t="e">
        <f t="shared" si="22"/>
        <v>#VALUE!</v>
      </c>
      <c r="AM36" s="109" t="e">
        <f t="shared" si="23"/>
        <v>#VALUE!</v>
      </c>
      <c r="AN36" s="112" t="e">
        <f>[1]!hecalc(2,0,1,AC36*100000,9,AM36,1)</f>
        <v>#VALUE!</v>
      </c>
      <c r="AO36" s="108">
        <f>'T2'!N37</f>
        <v>0</v>
      </c>
      <c r="AP36" s="113" t="e">
        <f t="shared" si="24"/>
        <v>#VALUE!</v>
      </c>
    </row>
    <row r="37" spans="1:42" s="50" customFormat="1">
      <c r="A37" s="103">
        <f>'T1'!A38</f>
        <v>0</v>
      </c>
      <c r="B37" s="104">
        <f>'T1'!B38</f>
        <v>0</v>
      </c>
      <c r="C37" s="105">
        <f>'T1'!C38</f>
        <v>0</v>
      </c>
      <c r="D37" s="106">
        <f>'T1'!N38</f>
        <v>0</v>
      </c>
      <c r="E37" s="106">
        <f>'T1'!AE38</f>
        <v>0</v>
      </c>
      <c r="F37" s="106">
        <f t="shared" si="12"/>
        <v>0</v>
      </c>
      <c r="G37" s="110">
        <f t="shared" si="1"/>
        <v>0</v>
      </c>
      <c r="H37" s="106">
        <f>'T1'!O38</f>
        <v>0</v>
      </c>
      <c r="I37" s="132" t="str">
        <f>[1]!hecalc(2,0,1,'T1'!H38*100000,9,'T1'!U38-'Recalage Tout T2'!G37*'T1'!Z38,1)</f>
        <v>NUM</v>
      </c>
      <c r="J37" s="113" t="e">
        <f t="shared" si="13"/>
        <v>#VALUE!</v>
      </c>
      <c r="K37" s="123">
        <f>G37*'T1'!Z38/1000*'Recalage Tout T2'!O37/1000</f>
        <v>0</v>
      </c>
      <c r="L37" s="131">
        <f>(K37-'T1'!AB38)/'T1'!$AB$19</f>
        <v>0</v>
      </c>
      <c r="M37" s="106">
        <f>'T1'!E38</f>
        <v>0</v>
      </c>
      <c r="N37" s="106">
        <f>'T1'!T38</f>
        <v>0</v>
      </c>
      <c r="O37" s="106">
        <f>'T1'!S38</f>
        <v>0</v>
      </c>
      <c r="P37" s="106">
        <f>'T2'!M38</f>
        <v>0</v>
      </c>
      <c r="Q37" s="106">
        <f>'T2'!E38</f>
        <v>0</v>
      </c>
      <c r="R37" s="106">
        <f>'T2'!R38</f>
        <v>0</v>
      </c>
      <c r="S37" s="106">
        <f>'T2'!Q38</f>
        <v>0</v>
      </c>
      <c r="T37" s="106">
        <f t="shared" si="14"/>
        <v>0</v>
      </c>
      <c r="U37" s="114">
        <v>20</v>
      </c>
      <c r="V37" s="106" t="str">
        <f>[1]!hecalc(5,0,1,Q37*100000,2,U37,1)</f>
        <v>NUM</v>
      </c>
      <c r="W37" s="106" t="e">
        <f t="shared" si="15"/>
        <v>#VALUE!</v>
      </c>
      <c r="X37" s="106" t="e">
        <f t="shared" si="16"/>
        <v>#VALUE!</v>
      </c>
      <c r="Y37" s="117" t="e">
        <f t="shared" si="17"/>
        <v>#VALUE!</v>
      </c>
      <c r="Z37" s="113">
        <f t="shared" si="18"/>
        <v>-20</v>
      </c>
      <c r="AA37" s="109">
        <f>'T2'!P38</f>
        <v>0</v>
      </c>
      <c r="AB37" s="108">
        <f t="shared" si="19"/>
        <v>0</v>
      </c>
      <c r="AC37" s="106">
        <f>'T2'!G38</f>
        <v>0</v>
      </c>
      <c r="AD37" s="109" t="str">
        <f>[1]!hecalc(8,0,1,Q37*100000,2,U37,1)</f>
        <v>NUM</v>
      </c>
      <c r="AE37" s="109" t="str">
        <f>[1]!hecalc(9,0,1,Q37*100000,2,U37,1)</f>
        <v>NUM</v>
      </c>
      <c r="AF37" s="109" t="e">
        <f>AE37-[1]!hecalc(9,0,1,AC37*100000,8,AD37,1)</f>
        <v>#VALUE!</v>
      </c>
      <c r="AG37" s="108" t="e">
        <f t="shared" si="20"/>
        <v>#VALUE!</v>
      </c>
      <c r="AH37" s="106" t="e">
        <f t="shared" si="21"/>
        <v>#VALUE!</v>
      </c>
      <c r="AI37" s="106" t="e">
        <f>AH37/'T2'!U1C0_thT2</f>
        <v>#VALUE!</v>
      </c>
      <c r="AJ37" s="110" t="e">
        <f>(0.321*AI37^4-1.6098*AI37^3+1.316*AI37^2+0.9448*AI37)*('T2'!Rendement_thT2/0.97)</f>
        <v>#VALUE!</v>
      </c>
      <c r="AK37" s="109">
        <f>'T1'!AB38*1000</f>
        <v>0</v>
      </c>
      <c r="AL37" s="109" t="e">
        <f t="shared" si="22"/>
        <v>#VALUE!</v>
      </c>
      <c r="AM37" s="109" t="e">
        <f t="shared" si="23"/>
        <v>#VALUE!</v>
      </c>
      <c r="AN37" s="112" t="e">
        <f>[1]!hecalc(2,0,1,AC37*100000,9,AM37,1)</f>
        <v>#VALUE!</v>
      </c>
      <c r="AO37" s="108">
        <f>'T2'!N38</f>
        <v>0</v>
      </c>
      <c r="AP37" s="113" t="e">
        <f t="shared" si="24"/>
        <v>#VALUE!</v>
      </c>
    </row>
    <row r="38" spans="1:42" s="50" customFormat="1">
      <c r="A38" s="103">
        <f>'T1'!A39</f>
        <v>0</v>
      </c>
      <c r="B38" s="104">
        <f>'T1'!B39</f>
        <v>0</v>
      </c>
      <c r="C38" s="105">
        <f>'T1'!C39</f>
        <v>0</v>
      </c>
      <c r="D38" s="106">
        <f>'T1'!N39</f>
        <v>0</v>
      </c>
      <c r="E38" s="106">
        <f>'T1'!AE39</f>
        <v>0</v>
      </c>
      <c r="F38" s="106">
        <f t="shared" si="12"/>
        <v>0</v>
      </c>
      <c r="G38" s="110">
        <f t="shared" si="1"/>
        <v>0</v>
      </c>
      <c r="H38" s="106">
        <f>'T1'!O39</f>
        <v>0</v>
      </c>
      <c r="I38" s="132" t="str">
        <f>[1]!hecalc(2,0,1,'T1'!H39*100000,9,'T1'!U39-'Recalage Tout T2'!G38*'T1'!Z39,1)</f>
        <v>NUM</v>
      </c>
      <c r="J38" s="113" t="e">
        <f t="shared" si="13"/>
        <v>#VALUE!</v>
      </c>
      <c r="K38" s="123">
        <f>G38*'T1'!Z39/1000*'Recalage Tout T2'!O38/1000</f>
        <v>0</v>
      </c>
      <c r="L38" s="131">
        <f>(K38-'T1'!AB39)/'T1'!$AB$19</f>
        <v>0</v>
      </c>
      <c r="M38" s="106">
        <f>'T1'!E39</f>
        <v>0</v>
      </c>
      <c r="N38" s="106">
        <f>'T1'!T39</f>
        <v>0</v>
      </c>
      <c r="O38" s="106">
        <f>'T1'!S39</f>
        <v>0</v>
      </c>
      <c r="P38" s="106">
        <f>'T2'!M39</f>
        <v>0</v>
      </c>
      <c r="Q38" s="106">
        <f>'T2'!E39</f>
        <v>0</v>
      </c>
      <c r="R38" s="106">
        <f>'T2'!R39</f>
        <v>0</v>
      </c>
      <c r="S38" s="106">
        <f>'T2'!Q39</f>
        <v>0</v>
      </c>
      <c r="T38" s="106">
        <f t="shared" si="14"/>
        <v>0</v>
      </c>
      <c r="U38" s="114">
        <v>20</v>
      </c>
      <c r="V38" s="106" t="str">
        <f>[1]!hecalc(5,0,1,Q38*100000,2,U38,1)</f>
        <v>NUM</v>
      </c>
      <c r="W38" s="106" t="e">
        <f t="shared" si="15"/>
        <v>#VALUE!</v>
      </c>
      <c r="X38" s="106" t="e">
        <f t="shared" si="16"/>
        <v>#VALUE!</v>
      </c>
      <c r="Y38" s="117" t="e">
        <f t="shared" si="17"/>
        <v>#VALUE!</v>
      </c>
      <c r="Z38" s="113">
        <f t="shared" si="18"/>
        <v>-20</v>
      </c>
      <c r="AA38" s="109">
        <f>'T2'!P39</f>
        <v>0</v>
      </c>
      <c r="AB38" s="108">
        <f t="shared" si="19"/>
        <v>0</v>
      </c>
      <c r="AC38" s="106">
        <f>'T2'!G39</f>
        <v>0</v>
      </c>
      <c r="AD38" s="109" t="str">
        <f>[1]!hecalc(8,0,1,Q38*100000,2,U38,1)</f>
        <v>NUM</v>
      </c>
      <c r="AE38" s="109" t="str">
        <f>[1]!hecalc(9,0,1,Q38*100000,2,U38,1)</f>
        <v>NUM</v>
      </c>
      <c r="AF38" s="109" t="e">
        <f>AE38-[1]!hecalc(9,0,1,AC38*100000,8,AD38,1)</f>
        <v>#VALUE!</v>
      </c>
      <c r="AG38" s="108" t="e">
        <f t="shared" si="20"/>
        <v>#VALUE!</v>
      </c>
      <c r="AH38" s="106" t="e">
        <f t="shared" si="21"/>
        <v>#VALUE!</v>
      </c>
      <c r="AI38" s="106" t="e">
        <f>AH38/'T2'!U1C0_thT2</f>
        <v>#VALUE!</v>
      </c>
      <c r="AJ38" s="110" t="e">
        <f>(0.321*AI38^4-1.6098*AI38^3+1.316*AI38^2+0.9448*AI38)*('T2'!Rendement_thT2/0.97)</f>
        <v>#VALUE!</v>
      </c>
      <c r="AK38" s="109">
        <f>'T1'!AB39*1000</f>
        <v>0</v>
      </c>
      <c r="AL38" s="109" t="e">
        <f t="shared" si="22"/>
        <v>#VALUE!</v>
      </c>
      <c r="AM38" s="109" t="e">
        <f t="shared" si="23"/>
        <v>#VALUE!</v>
      </c>
      <c r="AN38" s="112" t="e">
        <f>[1]!hecalc(2,0,1,AC38*100000,9,AM38,1)</f>
        <v>#VALUE!</v>
      </c>
      <c r="AO38" s="108">
        <f>'T2'!N39</f>
        <v>0</v>
      </c>
      <c r="AP38" s="113" t="e">
        <f t="shared" si="24"/>
        <v>#VALUE!</v>
      </c>
    </row>
  </sheetData>
  <conditionalFormatting sqref="Z18:Z23 AP18:AP23 J18:J23 L18:L23">
    <cfRule type="cellIs" dxfId="3" priority="7" operator="notBetween">
      <formula>-0.2</formula>
      <formula>0.2</formula>
    </cfRule>
    <cfRule type="cellIs" dxfId="2" priority="8" operator="between">
      <formula>-0.2</formula>
      <formula>0.2</formula>
    </cfRule>
  </conditionalFormatting>
  <conditionalFormatting sqref="Z24:Z38 AP24:AP38 J24:J38 L24:L38">
    <cfRule type="cellIs" dxfId="1" priority="1" operator="notBetween">
      <formula>-0.2</formula>
      <formula>0.2</formula>
    </cfRule>
    <cfRule type="cellIs" dxfId="0" priority="2" operator="between">
      <formula>-0.2</formula>
      <formula>0.2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10</vt:i4>
      </vt:variant>
    </vt:vector>
  </HeadingPairs>
  <TitlesOfParts>
    <vt:vector size="15" baseType="lpstr">
      <vt:lpstr>Liste des fluides</vt:lpstr>
      <vt:lpstr>Suivi de modif</vt:lpstr>
      <vt:lpstr>T1</vt:lpstr>
      <vt:lpstr>T2</vt:lpstr>
      <vt:lpstr>Recalage Tout T2</vt:lpstr>
      <vt:lpstr>Coeff_débit_réelT1</vt:lpstr>
      <vt:lpstr>'T2'!Coeff_débit_réelT2</vt:lpstr>
      <vt:lpstr>D_roueT1</vt:lpstr>
      <vt:lpstr>'T2'!D_roueT2</vt:lpstr>
      <vt:lpstr>Deg_reacT1</vt:lpstr>
      <vt:lpstr>'T2'!Deg_reacT2</vt:lpstr>
      <vt:lpstr>Rendement_thT1</vt:lpstr>
      <vt:lpstr>'T2'!Rendement_thT2</vt:lpstr>
      <vt:lpstr>U1C0_thT1</vt:lpstr>
      <vt:lpstr>'T2'!U1C0_thT2</vt:lpstr>
    </vt:vector>
  </TitlesOfParts>
  <Company>Rimfire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McCarty</dc:creator>
  <cp:lastModifiedBy>Pierre BARJHOUX</cp:lastModifiedBy>
  <cp:lastPrinted>2006-08-02T07:06:45Z</cp:lastPrinted>
  <dcterms:created xsi:type="dcterms:W3CDTF">1998-04-07T19:25:40Z</dcterms:created>
  <dcterms:modified xsi:type="dcterms:W3CDTF">2015-07-22T15:30:16Z</dcterms:modified>
</cp:coreProperties>
</file>