
<file path=[Content_Types].xml><?xml version="1.0" encoding="utf-8"?>
<Types xmlns="http://schemas.openxmlformats.org/package/2006/content-types">
  <Override PartName="/xl/embeddings/oleObject8.bin" ContentType="application/vnd.openxmlformats-officedocument.oleObject"/>
  <Override PartName="/xl/charts/chart6.xml" ContentType="application/vnd.openxmlformats-officedocument.drawingml.chart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embeddings/oleObject6.bin" ContentType="application/vnd.openxmlformats-officedocument.oleObject"/>
  <Override PartName="/xl/embeddings/oleObject12.bin" ContentType="application/vnd.openxmlformats-officedocument.oleObject"/>
  <Override PartName="/xl/worksheets/sheet6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emf" ContentType="image/x-emf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embeddings/oleObject9.bin" ContentType="application/vnd.openxmlformats-officedocument.oleObject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Override PartName="/xl/embeddings/oleObject7.bin" ContentType="application/vnd.openxmlformats-officedocument.oleObject"/>
  <Default Extension="png" ContentType="image/png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externalLinks/externalLink8.xml" ContentType="application/vnd.openxmlformats-officedocument.spreadsheetml.externalLink+xml"/>
  <Override PartName="/xl/activeX/activeX1.bin" ContentType="application/vnd.ms-office.activeX"/>
  <Override PartName="/xl/charts/chart5.xml" ContentType="application/vnd.openxmlformats-officedocument.drawingml.chart+xml"/>
  <Override PartName="/xl/embeddings/oleObject5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4710" yWindow="-15" windowWidth="12000" windowHeight="5910" tabRatio="873"/>
  </bookViews>
  <sheets>
    <sheet name="Turbines_JT60SA" sheetId="41" r:id="rId1"/>
    <sheet name="Turbines" sheetId="40" r:id="rId2"/>
    <sheet name="Turbine Réguléé à 2205 Hz" sheetId="35" r:id="rId3"/>
    <sheet name="Turbine  Libre" sheetId="34" r:id="rId4"/>
    <sheet name="Property HePak" sheetId="24" r:id="rId5"/>
    <sheet name="Fluides" sheetId="8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">#REF!</definedName>
    <definedName name="ActuatorType">#REF!</definedName>
    <definedName name="Affcode" localSheetId="0">#REF!</definedName>
    <definedName name="Affcode">#REF!</definedName>
    <definedName name="Affcp">#REF!</definedName>
    <definedName name="Affcpl">#REF!</definedName>
    <definedName name="Affcpv">#REF!</definedName>
    <definedName name="Afflamb">#REF!</definedName>
    <definedName name="Afflambl">#REF!</definedName>
    <definedName name="Afflambv">#REF!</definedName>
    <definedName name="AffLv">#REF!</definedName>
    <definedName name="AffM">#REF!</definedName>
    <definedName name="Affmu">#REF!</definedName>
    <definedName name="Affmul">#REF!</definedName>
    <definedName name="Affmuv">#REF!</definedName>
    <definedName name="Affmv">#REF!</definedName>
    <definedName name="Affmvl">#REF!</definedName>
    <definedName name="Affmvv">#REF!</definedName>
    <definedName name="AffNom">#REF!</definedName>
    <definedName name="AffP">#REF!</definedName>
    <definedName name="AffPhase">#REF!</definedName>
    <definedName name="AffPrl">#REF!</definedName>
    <definedName name="AffProphy">#REF!</definedName>
    <definedName name="AffTc" localSheetId="0">#REF!</definedName>
    <definedName name="AffTc">#REF!</definedName>
    <definedName name="AffTsat">#REF!</definedName>
    <definedName name="b_a">#REF!</definedName>
    <definedName name="ba">#REF!</definedName>
    <definedName name="Bo">#REF!</definedName>
    <definedName name="BodyPattern">#REF!</definedName>
    <definedName name="Canal">#REF!</definedName>
    <definedName name="ChoixConnect">#REF!</definedName>
    <definedName name="Cleanliness">#REF!</definedName>
    <definedName name="Co">#REF!</definedName>
    <definedName name="Coeff1">#REF!</definedName>
    <definedName name="Coeff10">#REF!</definedName>
    <definedName name="Coeff11">#REF!</definedName>
    <definedName name="Coeff12">#REF!</definedName>
    <definedName name="Coeff13">#REF!</definedName>
    <definedName name="Coeff2">#REF!</definedName>
    <definedName name="Coeff3">#REF!</definedName>
    <definedName name="Coeff4">#REF!</definedName>
    <definedName name="Coeff5">#REF!</definedName>
    <definedName name="Coeff6">#REF!</definedName>
    <definedName name="Coeff7">#REF!</definedName>
    <definedName name="Coeff8">#REF!</definedName>
    <definedName name="Coeff9">#REF!</definedName>
    <definedName name="Coeffcar4">#REF!</definedName>
    <definedName name="Coeffcar5">#REF!</definedName>
    <definedName name="Coeffconv">#REF!</definedName>
    <definedName name="Coefftri">#REF!</definedName>
    <definedName name="Coefsup">#REF!</definedName>
    <definedName name="Coefsuphor">#REF!</definedName>
    <definedName name="Coefsupret">#REF!</definedName>
    <definedName name="Conduite">#REF!</definedName>
    <definedName name="const1">#REF!</definedName>
    <definedName name="const2">#REF!</definedName>
    <definedName name="const3">#REF!</definedName>
    <definedName name="ConstructionCode">#REF!</definedName>
    <definedName name="Corr_E">#REF!</definedName>
    <definedName name="Corr_S">#REF!</definedName>
    <definedName name="Corr1">#REF!</definedName>
    <definedName name="Corr2">#REF!</definedName>
    <definedName name="Corr3">#REF!</definedName>
    <definedName name="coude">'[4]Pipe diameter'!$B$51:$B$56</definedName>
    <definedName name="cp" localSheetId="0">#REF!</definedName>
    <definedName name="cp">#REF!</definedName>
    <definedName name="Cp_1_fluide_1" localSheetId="0">#REF!</definedName>
    <definedName name="Cp_1_fluide_1">#REF!</definedName>
    <definedName name="Cp_1_fluide_2" localSheetId="0">#REF!</definedName>
    <definedName name="Cp_1_fluide_2">#REF!</definedName>
    <definedName name="Cp_2_fluide_1" localSheetId="0">#REF!</definedName>
    <definedName name="Cp_2_fluide_1">#REF!</definedName>
    <definedName name="Cp_2_fluide_2" localSheetId="0">#REF!</definedName>
    <definedName name="Cp_2_fluide_2">#REF!</definedName>
    <definedName name="cpe" localSheetId="0">#REF!</definedName>
    <definedName name="cpe">#REF!</definedName>
    <definedName name="cpl" localSheetId="0">#REF!</definedName>
    <definedName name="cpl">#REF!</definedName>
    <definedName name="cps" localSheetId="0">#REF!</definedName>
    <definedName name="cps">#REF!</definedName>
    <definedName name="cpv" localSheetId="0">#REF!</definedName>
    <definedName name="cpv">#REF!</definedName>
    <definedName name="crit1">#REF!</definedName>
    <definedName name="crit2">#REF!</definedName>
    <definedName name="crit3">#REF!</definedName>
    <definedName name="_xlnm.Criteria">#REF!</definedName>
    <definedName name="CurFileName">#REF!</definedName>
    <definedName name="D">#REF!</definedName>
    <definedName name="Data">"?"</definedName>
    <definedName name="_xlnm.Database">#REF!</definedName>
    <definedName name="DataName">"?"</definedName>
    <definedName name="db_leak_test" localSheetId="0">'[3]Data base'!#REF!</definedName>
    <definedName name="db_leak_test">'[3]Data base'!#REF!</definedName>
    <definedName name="débit">#REF!</definedName>
    <definedName name="Débit_masse">#REF!</definedName>
    <definedName name="Débit_masse_fluide1">#REF!</definedName>
    <definedName name="Débit_masse_fluide2" localSheetId="0">#REF!</definedName>
    <definedName name="Débit_masse_fluide2">#REF!</definedName>
    <definedName name="degrees" localSheetId="0">#REF!</definedName>
    <definedName name="degrees">#REF!</definedName>
    <definedName name="Delta_P_fluide1" localSheetId="0">#REF!</definedName>
    <definedName name="Delta_P_fluide1">#REF!</definedName>
    <definedName name="Delta_P_fluide2" localSheetId="0">#REF!</definedName>
    <definedName name="Delta_P_fluide2">#REF!</definedName>
    <definedName name="Dft">#REF!</definedName>
    <definedName name="Dh">#REF!</definedName>
    <definedName name="Di">#REF!</definedName>
    <definedName name="_Dim1">#REF!</definedName>
    <definedName name="_Dim2">#REF!</definedName>
    <definedName name="Dlaby" localSheetId="0">#REF!</definedName>
    <definedName name="Dlaby">#REF!</definedName>
    <definedName name="DN">#REF!</definedName>
    <definedName name="DN_CODAP_Table">#REF!</definedName>
    <definedName name="DN_table">#REF!</definedName>
    <definedName name="dp_hp">#REF!</definedName>
    <definedName name="dp_lp">#REF!</definedName>
    <definedName name="DR">#REF!</definedName>
    <definedName name="dsdfgsdf" localSheetId="0">#REF!</definedName>
    <definedName name="dsdfgsdf">#REF!</definedName>
    <definedName name="EffetD">#REF!</definedName>
    <definedName name="Effetflux">#REF!</definedName>
    <definedName name="EffetM">#REF!</definedName>
    <definedName name="EffetP">#REF!</definedName>
    <definedName name="EffetRug">#REF!</definedName>
    <definedName name="ElectricalCode">#REF!</definedName>
    <definedName name="EndConnection">#REF!</definedName>
    <definedName name="etat">#REF!</definedName>
    <definedName name="Fact">#REF!</definedName>
    <definedName name="factF">#REF!</definedName>
    <definedName name="FactF0">#REF!</definedName>
    <definedName name="FactF1">#REF!</definedName>
    <definedName name="factFLW">#REF!</definedName>
    <definedName name="factFLWhor">#REF!</definedName>
    <definedName name="factFLWret">#REF!</definedName>
    <definedName name="factFnb">#REF!</definedName>
    <definedName name="factFST">#REF!</definedName>
    <definedName name="FailureType">#REF!</definedName>
    <definedName name="_fdi1">#REF!</definedName>
    <definedName name="_fdi2">#REF!</definedName>
    <definedName name="fFil">#REF!</definedName>
    <definedName name="fFilvap">#REF!</definedName>
    <definedName name="Fluide">#REF!</definedName>
    <definedName name="fluides">[2]Fluids!$A$4:$A$87</definedName>
    <definedName name="Frl">#REF!</definedName>
    <definedName name="gas">[4]Fluides!$K$2:$K$4</definedName>
    <definedName name="GP_fluides">Fluides!$C$2:$C$38</definedName>
    <definedName name="gravité">#REF!</definedName>
    <definedName name="h">#REF!</definedName>
    <definedName name="hconv">#REF!</definedName>
    <definedName name="hdit">#REF!</definedName>
    <definedName name="hebul">#REF!</definedName>
    <definedName name="Hevm">#REF!</definedName>
    <definedName name="hgaz">#REF!</definedName>
    <definedName name="hhau">#REF!</definedName>
    <definedName name="hl0">#REF!</definedName>
    <definedName name="hliq">#REF!</definedName>
    <definedName name="hLW">#REF!</definedName>
    <definedName name="hmac">#REF!</definedName>
    <definedName name="hmax">#REF!</definedName>
    <definedName name="hmin">#REF!</definedName>
    <definedName name="hmoy">#REF!</definedName>
    <definedName name="hnuCoo">#REF!</definedName>
    <definedName name="hpet">#REF!</definedName>
    <definedName name="href">#REF!</definedName>
    <definedName name="hsch">#REF!</definedName>
    <definedName name="hSchah">#REF!</definedName>
    <definedName name="hsie">#REF!</definedName>
    <definedName name="hST">#REF!</definedName>
    <definedName name="httc">#REF!</definedName>
    <definedName name="httl">#REF!</definedName>
    <definedName name="Hvap" localSheetId="0">#REF!</definedName>
    <definedName name="Hvap">#REF!</definedName>
    <definedName name="Inf">#REF!</definedName>
    <definedName name="info">#REF!</definedName>
    <definedName name="Input1" localSheetId="0">#REF!</definedName>
    <definedName name="Input1">'Property HePak'!$C$7</definedName>
    <definedName name="Input2" localSheetId="0">#REF!</definedName>
    <definedName name="Input2">'Property HePak'!$D$7</definedName>
    <definedName name="Jrl" localSheetId="0">#REF!</definedName>
    <definedName name="Jrl">#REF!</definedName>
    <definedName name="lamb" localSheetId="0">#REF!</definedName>
    <definedName name="lamb">#REF!</definedName>
    <definedName name="lambe" localSheetId="0">#REF!</definedName>
    <definedName name="lambe">#REF!</definedName>
    <definedName name="lambl" localSheetId="0">#REF!</definedName>
    <definedName name="lambl">#REF!</definedName>
    <definedName name="lambs" localSheetId="0">#REF!</definedName>
    <definedName name="lambs">#REF!</definedName>
    <definedName name="lambv" localSheetId="0">#REF!</definedName>
    <definedName name="lambv">#REF!</definedName>
    <definedName name="Local_path">#REF!</definedName>
    <definedName name="long">#REF!</definedName>
    <definedName name="Lv" localSheetId="0">#REF!</definedName>
    <definedName name="Lv">#REF!</definedName>
    <definedName name="M" localSheetId="0">#REF!</definedName>
    <definedName name="M">#REF!</definedName>
    <definedName name="MaterialCertificat">#REF!</definedName>
    <definedName name="modifiable" localSheetId="0">#REF!,#REF!,#REF!,#REF!,#REF!,#REF!,#REF!,#REF!,#REF!,#REF!,#REF!,#REF!,#REF!,#REF!,#REF!,#REF!,#REF!,#REF!,#REF!,#REF!,#REF!,#REF!,#REF!,#REF!</definedName>
    <definedName name="modifiable">#REF!,#REF!,#REF!,#REF!,#REF!,#REF!,#REF!,#REF!,#REF!,#REF!,#REF!,#REF!,#REF!,#REF!,#REF!,#REF!,#REF!,#REF!,#REF!,#REF!,#REF!,#REF!,#REF!,#REF!</definedName>
    <definedName name="Motifs">#REF!</definedName>
    <definedName name="mu" localSheetId="0">#REF!</definedName>
    <definedName name="mu">#REF!</definedName>
    <definedName name="mue" localSheetId="0">#REF!</definedName>
    <definedName name="mue">#REF!</definedName>
    <definedName name="mul" localSheetId="0">#REF!</definedName>
    <definedName name="mul">#REF!</definedName>
    <definedName name="mus" localSheetId="0">#REF!</definedName>
    <definedName name="mus">#REF!</definedName>
    <definedName name="muv" localSheetId="0">#REF!</definedName>
    <definedName name="muv">#REF!</definedName>
    <definedName name="mv" localSheetId="0">#REF!</definedName>
    <definedName name="mv">#REF!</definedName>
    <definedName name="mve" localSheetId="0">#REF!</definedName>
    <definedName name="mve">#REF!</definedName>
    <definedName name="mvl" localSheetId="0">#REF!</definedName>
    <definedName name="mvl">#REF!</definedName>
    <definedName name="mvs" localSheetId="0">#REF!</definedName>
    <definedName name="mvs">#REF!</definedName>
    <definedName name="mvv" localSheetId="0">#REF!</definedName>
    <definedName name="mvv">#REF!</definedName>
    <definedName name="nbcor">#REF!</definedName>
    <definedName name="Nconf">#REF!</definedName>
    <definedName name="Network_path" localSheetId="0">#REF!</definedName>
    <definedName name="Network_path">#REF!</definedName>
    <definedName name="Nflux">#REF!</definedName>
    <definedName name="Nfluxcryo">#REF!</definedName>
    <definedName name="NfluxEAU">#REF!</definedName>
    <definedName name="Nhor">#REF!</definedName>
    <definedName name="Nom" localSheetId="0">#REF!</definedName>
    <definedName name="Nom">#REF!</definedName>
    <definedName name="Nu">#REF!</definedName>
    <definedName name="_Nu1">#REF!</definedName>
    <definedName name="_Nu2">#REF!</definedName>
    <definedName name="Nuannu">#REF!</definedName>
    <definedName name="Nucar4">#REF!</definedName>
    <definedName name="Nucar5">#REF!</definedName>
    <definedName name="Nudit">#REF!</definedName>
    <definedName name="Nufaisc">#REF!</definedName>
    <definedName name="NuGN">#REF!</definedName>
    <definedName name="NuGNvap">#REF!</definedName>
    <definedName name="Nuhau">#REF!</definedName>
    <definedName name="Nuint">#REF!</definedName>
    <definedName name="Nulam">#REF!</definedName>
    <definedName name="Numac">#REF!</definedName>
    <definedName name="Numax">#REF!</definedName>
    <definedName name="Numin">#REF!</definedName>
    <definedName name="Numoy">#REF!</definedName>
    <definedName name="NuNutube">#REF!</definedName>
    <definedName name="Nupet">#REF!</definedName>
    <definedName name="Nurect">#REF!</definedName>
    <definedName name="Nusch">#REF!</definedName>
    <definedName name="Nusie">#REF!</definedName>
    <definedName name="Nuttc">#REF!</definedName>
    <definedName name="Nuttl">#REF!</definedName>
    <definedName name="Nvert">#REF!</definedName>
    <definedName name="P" localSheetId="0">#REF!</definedName>
    <definedName name="P">#REF!</definedName>
    <definedName name="P_fluide1_1" localSheetId="0">#REF!</definedName>
    <definedName name="P_fluide1_1">#REF!</definedName>
    <definedName name="P_fluide1_2" localSheetId="0">#REF!</definedName>
    <definedName name="P_fluide1_2">#REF!</definedName>
    <definedName name="P_fluide2_1" localSheetId="0">#REF!</definedName>
    <definedName name="P_fluide2_1">#REF!</definedName>
    <definedName name="P_fluide2_2" localSheetId="0">#REF!</definedName>
    <definedName name="P_fluide2_2">#REF!</definedName>
    <definedName name="P0" localSheetId="0">'[5]Données et calculs'!#REF!</definedName>
    <definedName name="P0">'[5]Données et calculs'!#REF!</definedName>
    <definedName name="pad">#REF!</definedName>
    <definedName name="pas">#REF!</definedName>
    <definedName name="Pc">#REF!</definedName>
    <definedName name="Pcar4">#REF!</definedName>
    <definedName name="Pcar5">#REF!</definedName>
    <definedName name="Pdilu">#REF!</definedName>
    <definedName name="Pech" localSheetId="0">#REF!</definedName>
    <definedName name="Pech">#REF!</definedName>
    <definedName name="Per" localSheetId="0">#REF!</definedName>
    <definedName name="Per">#REF!</definedName>
    <definedName name="Phase" localSheetId="0">#REF!</definedName>
    <definedName name="Phase">#REF!</definedName>
    <definedName name="PlugCharacteristic">#REF!</definedName>
    <definedName name="PlugType">#REF!</definedName>
    <definedName name="PositionerType">#REF!</definedName>
    <definedName name="Pr">#REF!</definedName>
    <definedName name="Pred">#REF!</definedName>
    <definedName name="_xlnm.Print_Area" localSheetId="4">'Property HePak'!$A$1:$G$61</definedName>
    <definedName name="_xlnm.Print_Titles" localSheetId="4">'Property HePak'!$1:$16</definedName>
    <definedName name="Prl" localSheetId="0">#REF!</definedName>
    <definedName name="Prl">#REF!</definedName>
    <definedName name="Prophy" localSheetId="0">#REF!</definedName>
    <definedName name="Prophy">#REF!</definedName>
    <definedName name="Prv">#REF!</definedName>
    <definedName name="Psat" localSheetId="0">#REF!</definedName>
    <definedName name="Psat">#REF!</definedName>
    <definedName name="PSIconf">#REF!</definedName>
    <definedName name="PSIcv">#REF!</definedName>
    <definedName name="PSImix">#REF!</definedName>
    <definedName name="PSInu">#REF!</definedName>
    <definedName name="Psortie" localSheetId="0">'[5]Unités SI'!#REF!</definedName>
    <definedName name="Psortie">'[5]Unités SI'!#REF!</definedName>
    <definedName name="Ptri">#REF!</definedName>
    <definedName name="Puissance" localSheetId="0">#REF!</definedName>
    <definedName name="Puissance">#REF!</definedName>
    <definedName name="Puissance1" localSheetId="0">#REF!</definedName>
    <definedName name="Puissance1">#REF!</definedName>
    <definedName name="Puissance2" localSheetId="0">#REF!</definedName>
    <definedName name="Puissance2">#REF!</definedName>
    <definedName name="Q">#REF!</definedName>
    <definedName name="QM">'[8]détente 1'!$C$10</definedName>
    <definedName name="Qref">#REF!</definedName>
    <definedName name="Qt">#REF!</definedName>
    <definedName name="Rapport">#REF!</definedName>
    <definedName name="Re">#REF!</definedName>
    <definedName name="Reg0">#REF!</definedName>
    <definedName name="Régime">#REF!</definedName>
    <definedName name="Regulation">#REF!</definedName>
    <definedName name="Rel">#REF!</definedName>
    <definedName name="Rel0">#REF!</definedName>
    <definedName name="Rendement_S_compresseur">#REF!</definedName>
    <definedName name="_Res1">#REF!</definedName>
    <definedName name="_Res2">#REF!</definedName>
    <definedName name="_Res3">#REF!</definedName>
    <definedName name="_Res4">#REF!</definedName>
    <definedName name="_Res5">#REF!</definedName>
    <definedName name="_Res6">#REF!</definedName>
    <definedName name="_Res7">#REF!</definedName>
    <definedName name="_Res8">#REF!</definedName>
    <definedName name="result">#REF!</definedName>
    <definedName name="Rev" localSheetId="0">#REF!</definedName>
    <definedName name="Rev">#REF!</definedName>
    <definedName name="Rug">#REF!</definedName>
    <definedName name="Spass">#REF!</definedName>
    <definedName name="Spass1">#REF!</definedName>
    <definedName name="Spass2">#REF!</definedName>
    <definedName name="Sup">#REF!</definedName>
    <definedName name="T_basse">#REF!</definedName>
    <definedName name="T_fluide1_1" localSheetId="0">#REF!</definedName>
    <definedName name="T_fluide1_1">#REF!</definedName>
    <definedName name="T_fluide1_2" localSheetId="0">#REF!</definedName>
    <definedName name="T_fluide1_2">#REF!</definedName>
    <definedName name="T_fluide2_1" localSheetId="0">#REF!</definedName>
    <definedName name="T_fluide2_1">#REF!</definedName>
    <definedName name="T_fluide2_2" localSheetId="0">#REF!</definedName>
    <definedName name="T_fluide2_2">#REF!</definedName>
    <definedName name="T_haute">#REF!</definedName>
    <definedName name="_Tab1">#REF!</definedName>
    <definedName name="_Tab10">#REF!</definedName>
    <definedName name="_Tab11">#REF!</definedName>
    <definedName name="_Tab12">#REF!</definedName>
    <definedName name="_Tab13">#REF!</definedName>
    <definedName name="_Tab2">#REF!</definedName>
    <definedName name="_Tab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>#REF!</definedName>
    <definedName name="Table1">#REF!</definedName>
    <definedName name="Table2">#REF!</definedName>
    <definedName name="Tabnu">#REF!</definedName>
    <definedName name="Tc">#REF!</definedName>
    <definedName name="Tent">#REF!</definedName>
    <definedName name="Testhor">#REF!</definedName>
    <definedName name="Titre">#REF!</definedName>
    <definedName name="Tmax" localSheetId="0">#REF!</definedName>
    <definedName name="Tmax">#REF!</definedName>
    <definedName name="Tmin" localSheetId="0">#REF!</definedName>
    <definedName name="Tmin">#REF!</definedName>
    <definedName name="Ts" localSheetId="0">#REF!</definedName>
    <definedName name="Ts">#REF!</definedName>
    <definedName name="Tsat" localSheetId="0">#REF!</definedName>
    <definedName name="Tsat">#REF!</definedName>
    <definedName name="Tsor">#REF!</definedName>
    <definedName name="_Typ1">#REF!</definedName>
    <definedName name="_Typ2">#REF!</definedName>
    <definedName name="_Typ3">#REF!</definedName>
    <definedName name="_Typ4">#REF!</definedName>
    <definedName name="_Typ5">#REF!</definedName>
    <definedName name="_Typ6">#REF!</definedName>
    <definedName name="_Typ7">#REF!</definedName>
    <definedName name="_Typ8">#REF!</definedName>
    <definedName name="Um">#REF!</definedName>
    <definedName name="Umoy">#REF!</definedName>
    <definedName name="Unite_Debit">#REF!</definedName>
    <definedName name="Unite1">#REF!</definedName>
    <definedName name="Units" localSheetId="0">#REF!</definedName>
    <definedName name="Units">'Property HePak'!$F$9</definedName>
    <definedName name="Ut">#REF!</definedName>
    <definedName name="V">#REF!</definedName>
    <definedName name="_Val1">#REF!</definedName>
    <definedName name="_Val2">#REF!</definedName>
    <definedName name="_Val3">#REF!</definedName>
    <definedName name="Vali1">#REF!</definedName>
    <definedName name="Vali2">#REF!</definedName>
    <definedName name="Vali3">#REF!</definedName>
    <definedName name="Vali4">#REF!</definedName>
    <definedName name="Vali5">#REF!</definedName>
    <definedName name="Vali6">#REF!</definedName>
    <definedName name="Vali7">#REF!</definedName>
    <definedName name="Vali8">#REF!</definedName>
    <definedName name="Valid" localSheetId="0">#REF!</definedName>
    <definedName name="Valid">#REF!</definedName>
    <definedName name="Value1" localSheetId="0">#REF!</definedName>
    <definedName name="Value1">'Property HePak'!$C$9</definedName>
    <definedName name="Value2" localSheetId="0">#REF!</definedName>
    <definedName name="Value2">'Property HePak'!$D$9</definedName>
    <definedName name="ValveFunction">#REF!</definedName>
    <definedName name="ValveType">#REF!</definedName>
    <definedName name="Vser" localSheetId="0">#REF!</definedName>
    <definedName name="Vser">#REF!</definedName>
    <definedName name="Xtt">#REF!</definedName>
    <definedName name="Xtt85" localSheetId="0">#REF!</definedName>
    <definedName name="Xtt85">#REF!</definedName>
    <definedName name="YESNO">#REF!</definedName>
    <definedName name="Zl" localSheetId="0">#REF!</definedName>
    <definedName name="Zl">#REF!</definedName>
    <definedName name="ZonB">#REF!</definedName>
    <definedName name="Zonhor">#REF!,#REF!,#REF!</definedName>
    <definedName name="ZonN">#REF!,#REF!,#REF!,#REF!,#REF!</definedName>
    <definedName name="ZonR">#REF!,#REF!</definedName>
    <definedName name="ZonV">#REF!</definedName>
  </definedNames>
  <calcPr calcId="125725" fullCalcOnLoad="1"/>
</workbook>
</file>

<file path=xl/calcChain.xml><?xml version="1.0" encoding="utf-8"?>
<calcChain xmlns="http://schemas.openxmlformats.org/spreadsheetml/2006/main">
  <c r="F12" i="41"/>
  <c r="G12"/>
  <c r="G47" s="1"/>
  <c r="H12"/>
  <c r="H47" s="1"/>
  <c r="H81" s="1"/>
  <c r="I12"/>
  <c r="E24"/>
  <c r="F24"/>
  <c r="G24"/>
  <c r="H24"/>
  <c r="I24"/>
  <c r="E26"/>
  <c r="F26"/>
  <c r="G26"/>
  <c r="H26"/>
  <c r="I26"/>
  <c r="D27"/>
  <c r="E27" s="1"/>
  <c r="F27"/>
  <c r="G27"/>
  <c r="H27"/>
  <c r="M39"/>
  <c r="M40"/>
  <c r="M41"/>
  <c r="M42"/>
  <c r="F47"/>
  <c r="F81" s="1"/>
  <c r="I47"/>
  <c r="I81" s="1"/>
  <c r="F59"/>
  <c r="G59"/>
  <c r="H59"/>
  <c r="I59"/>
  <c r="E61"/>
  <c r="F61"/>
  <c r="G61"/>
  <c r="H61"/>
  <c r="I61"/>
  <c r="D62"/>
  <c r="E62"/>
  <c r="F62"/>
  <c r="G62"/>
  <c r="H62"/>
  <c r="I62"/>
  <c r="M74"/>
  <c r="M75"/>
  <c r="M76"/>
  <c r="M77"/>
  <c r="G81"/>
  <c r="F93"/>
  <c r="G93"/>
  <c r="H93"/>
  <c r="I93"/>
  <c r="E95"/>
  <c r="F95"/>
  <c r="G95"/>
  <c r="H95"/>
  <c r="I95"/>
  <c r="D96"/>
  <c r="E96"/>
  <c r="F96"/>
  <c r="G96"/>
  <c r="H96"/>
  <c r="I96"/>
  <c r="M108"/>
  <c r="M109"/>
  <c r="M110"/>
  <c r="N116" s="1"/>
  <c r="M111"/>
  <c r="N117" s="1"/>
  <c r="M113"/>
  <c r="N113"/>
  <c r="L114"/>
  <c r="M114"/>
  <c r="N114"/>
  <c r="O114"/>
  <c r="L115"/>
  <c r="M115"/>
  <c r="N115"/>
  <c r="O115"/>
  <c r="L116"/>
  <c r="M116"/>
  <c r="O116"/>
  <c r="L117"/>
  <c r="M117"/>
  <c r="O117"/>
  <c r="C128"/>
  <c r="D128"/>
  <c r="E128"/>
  <c r="E130" s="1"/>
  <c r="C129"/>
  <c r="B130"/>
  <c r="C130"/>
  <c r="B131"/>
  <c r="C131"/>
  <c r="B132"/>
  <c r="C132"/>
  <c r="B133"/>
  <c r="C133"/>
  <c r="B134"/>
  <c r="C134"/>
  <c r="B135"/>
  <c r="C135"/>
  <c r="B136"/>
  <c r="C136"/>
  <c r="B137"/>
  <c r="C137"/>
  <c r="B138"/>
  <c r="C138"/>
  <c r="B139"/>
  <c r="C139"/>
  <c r="B140"/>
  <c r="C140"/>
  <c r="B141"/>
  <c r="C141"/>
  <c r="B142"/>
  <c r="C142"/>
  <c r="B143"/>
  <c r="C143"/>
  <c r="B144"/>
  <c r="C144"/>
  <c r="B145"/>
  <c r="C145"/>
  <c r="B146"/>
  <c r="C146"/>
  <c r="B147"/>
  <c r="C147"/>
  <c r="B148"/>
  <c r="C148"/>
  <c r="B149"/>
  <c r="C149"/>
  <c r="B150"/>
  <c r="C150"/>
  <c r="B151"/>
  <c r="C151"/>
  <c r="B152"/>
  <c r="C152"/>
  <c r="B153"/>
  <c r="C153"/>
  <c r="B154"/>
  <c r="C154"/>
  <c r="B155"/>
  <c r="C155"/>
  <c r="B156"/>
  <c r="C156"/>
  <c r="B157"/>
  <c r="C157"/>
  <c r="B158"/>
  <c r="C158"/>
  <c r="B159"/>
  <c r="C159"/>
  <c r="C9" i="24"/>
  <c r="B52" i="40"/>
  <c r="B53"/>
  <c r="B54" s="1"/>
  <c r="B55" s="1"/>
  <c r="C54"/>
  <c r="C53"/>
  <c r="C52"/>
  <c r="C51"/>
  <c r="C175"/>
  <c r="H175" s="1"/>
  <c r="G15" i="35"/>
  <c r="C39"/>
  <c r="C40"/>
  <c r="C41"/>
  <c r="C42" s="1"/>
  <c r="C26"/>
  <c r="C27"/>
  <c r="G16" i="34"/>
  <c r="C11" s="1"/>
  <c r="C166" i="40"/>
  <c r="H162"/>
  <c r="D18"/>
  <c r="F18" s="1"/>
  <c r="C169"/>
  <c r="G15" i="34"/>
  <c r="C13"/>
  <c r="H25" s="1"/>
  <c r="L25" s="1"/>
  <c r="I25" s="1"/>
  <c r="J25" s="1"/>
  <c r="K25" s="1"/>
  <c r="M25" s="1"/>
  <c r="C26"/>
  <c r="C27"/>
  <c r="C28"/>
  <c r="C29"/>
  <c r="H37"/>
  <c r="L37" s="1"/>
  <c r="I37" s="1"/>
  <c r="J37" s="1"/>
  <c r="K37" s="1"/>
  <c r="M37" s="1"/>
  <c r="C39"/>
  <c r="H39"/>
  <c r="L39" s="1"/>
  <c r="I39" s="1"/>
  <c r="J39" s="1"/>
  <c r="K39" s="1"/>
  <c r="D18" i="41"/>
  <c r="E33"/>
  <c r="G33"/>
  <c r="D25"/>
  <c r="H25"/>
  <c r="G28"/>
  <c r="E29"/>
  <c r="I29"/>
  <c r="E66"/>
  <c r="D68"/>
  <c r="F68"/>
  <c r="I66"/>
  <c r="G60"/>
  <c r="F63"/>
  <c r="D64"/>
  <c r="H64"/>
  <c r="D87"/>
  <c r="G100"/>
  <c r="H102"/>
  <c r="D101"/>
  <c r="D94"/>
  <c r="I94"/>
  <c r="D97"/>
  <c r="H97"/>
  <c r="F98"/>
  <c r="F21" i="40"/>
  <c r="F94"/>
  <c r="E94"/>
  <c r="C58" i="24"/>
  <c r="E55"/>
  <c r="D54"/>
  <c r="C53"/>
  <c r="E51"/>
  <c r="D50"/>
  <c r="C49"/>
  <c r="E47"/>
  <c r="D46"/>
  <c r="C45"/>
  <c r="E43"/>
  <c r="D42"/>
  <c r="C41"/>
  <c r="E39"/>
  <c r="D38"/>
  <c r="D37"/>
  <c r="D36"/>
  <c r="C35"/>
  <c r="E33"/>
  <c r="D32"/>
  <c r="C31"/>
  <c r="D29"/>
  <c r="C28"/>
  <c r="E26"/>
  <c r="D25"/>
  <c r="C24"/>
  <c r="E22"/>
  <c r="D21"/>
  <c r="C20"/>
  <c r="E18"/>
  <c r="D17"/>
  <c r="D8"/>
  <c r="D179" i="40"/>
  <c r="G7" i="35"/>
  <c r="E25"/>
  <c r="E44"/>
  <c r="E40"/>
  <c r="E35"/>
  <c r="E31"/>
  <c r="E27"/>
  <c r="F45"/>
  <c r="F41"/>
  <c r="F37"/>
  <c r="F33"/>
  <c r="F29"/>
  <c r="G47"/>
  <c r="G43"/>
  <c r="G39"/>
  <c r="G35"/>
  <c r="G31"/>
  <c r="G27"/>
  <c r="E165" i="40"/>
  <c r="E175"/>
  <c r="D169"/>
  <c r="E178"/>
  <c r="E181"/>
  <c r="D33" i="41"/>
  <c r="H31"/>
  <c r="F25"/>
  <c r="E28"/>
  <c r="I28"/>
  <c r="D60"/>
  <c r="I60"/>
  <c r="G94"/>
  <c r="D98"/>
  <c r="G19" i="40"/>
  <c r="E31" i="41"/>
  <c r="G31"/>
  <c r="H33"/>
  <c r="D32"/>
  <c r="G25"/>
  <c r="F28"/>
  <c r="D29"/>
  <c r="H29"/>
  <c r="D66"/>
  <c r="F66"/>
  <c r="G68"/>
  <c r="F60"/>
  <c r="E63"/>
  <c r="I63"/>
  <c r="G64"/>
  <c r="E102"/>
  <c r="H100"/>
  <c r="I102"/>
  <c r="H94"/>
  <c r="G97"/>
  <c r="E98"/>
  <c r="I98"/>
  <c r="D21" i="40"/>
  <c r="F19"/>
  <c r="G21"/>
  <c r="C59" i="24"/>
  <c r="C56"/>
  <c r="E54"/>
  <c r="D53"/>
  <c r="C52"/>
  <c r="E50"/>
  <c r="D49"/>
  <c r="C48"/>
  <c r="E46"/>
  <c r="D45"/>
  <c r="C44"/>
  <c r="E42"/>
  <c r="D41"/>
  <c r="C40"/>
  <c r="E38"/>
  <c r="E37"/>
  <c r="E36"/>
  <c r="D35"/>
  <c r="C34"/>
  <c r="E32"/>
  <c r="D31"/>
  <c r="E29"/>
  <c r="D28"/>
  <c r="C27"/>
  <c r="E25"/>
  <c r="D24"/>
  <c r="C23"/>
  <c r="E21"/>
  <c r="D20"/>
  <c r="C19"/>
  <c r="E17"/>
  <c r="C10"/>
  <c r="I43"/>
  <c r="F25" i="35"/>
  <c r="G25"/>
  <c r="E45"/>
  <c r="E41"/>
  <c r="E37"/>
  <c r="E36"/>
  <c r="E32"/>
  <c r="E28"/>
  <c r="F46"/>
  <c r="F42"/>
  <c r="F38"/>
  <c r="F34"/>
  <c r="F30"/>
  <c r="F26"/>
  <c r="G44"/>
  <c r="G40"/>
  <c r="G36"/>
  <c r="G32"/>
  <c r="G28"/>
  <c r="F33" i="41"/>
  <c r="I33"/>
  <c r="G29"/>
  <c r="D53"/>
  <c r="G66"/>
  <c r="H68"/>
  <c r="D67"/>
  <c r="D63"/>
  <c r="H63"/>
  <c r="F64"/>
  <c r="E100"/>
  <c r="D102"/>
  <c r="F102"/>
  <c r="I100"/>
  <c r="F97"/>
  <c r="H98"/>
  <c r="D19" i="40"/>
  <c r="I25" i="41"/>
  <c r="F29"/>
  <c r="I68"/>
  <c r="H60"/>
  <c r="G63"/>
  <c r="F100"/>
  <c r="F94"/>
  <c r="E97"/>
  <c r="C61" i="24"/>
  <c r="D55"/>
  <c r="E52"/>
  <c r="C50"/>
  <c r="D47"/>
  <c r="E44"/>
  <c r="C42"/>
  <c r="D39"/>
  <c r="C37"/>
  <c r="E34"/>
  <c r="C32"/>
  <c r="C29"/>
  <c r="D26"/>
  <c r="E23"/>
  <c r="C21"/>
  <c r="D18"/>
  <c r="C8"/>
  <c r="E46" i="35"/>
  <c r="E38"/>
  <c r="E34"/>
  <c r="E26"/>
  <c r="F40"/>
  <c r="F32"/>
  <c r="G46"/>
  <c r="G38"/>
  <c r="G30"/>
  <c r="D166" i="40"/>
  <c r="E166" s="1"/>
  <c r="D176"/>
  <c r="G121"/>
  <c r="G125"/>
  <c r="D13"/>
  <c r="E56" i="24"/>
  <c r="C54"/>
  <c r="E48"/>
  <c r="C46"/>
  <c r="D43"/>
  <c r="C38"/>
  <c r="D33"/>
  <c r="E27"/>
  <c r="D22"/>
  <c r="E30" i="35"/>
  <c r="F28"/>
  <c r="G34"/>
  <c r="G114" i="40"/>
  <c r="H66" i="41"/>
  <c r="D100"/>
  <c r="I97"/>
  <c r="C55" i="24"/>
  <c r="E49"/>
  <c r="D44"/>
  <c r="I36"/>
  <c r="E28"/>
  <c r="E20"/>
  <c r="E7"/>
  <c r="E43" i="35"/>
  <c r="F47"/>
  <c r="F31"/>
  <c r="G37"/>
  <c r="F122" i="40"/>
  <c r="G122" s="1"/>
  <c r="E179"/>
  <c r="E25" i="41"/>
  <c r="H28"/>
  <c r="E68"/>
  <c r="G102"/>
  <c r="D20" i="40"/>
  <c r="D56" i="24"/>
  <c r="E53"/>
  <c r="C51"/>
  <c r="D48"/>
  <c r="E45"/>
  <c r="C43"/>
  <c r="D40"/>
  <c r="I37"/>
  <c r="E35"/>
  <c r="C33"/>
  <c r="C30"/>
  <c r="D27"/>
  <c r="E24"/>
  <c r="C22"/>
  <c r="D19"/>
  <c r="D10"/>
  <c r="E47" i="35"/>
  <c r="E39"/>
  <c r="E29"/>
  <c r="F43"/>
  <c r="F35"/>
  <c r="F27"/>
  <c r="G41"/>
  <c r="G33"/>
  <c r="G8" i="34"/>
  <c r="F115" i="40"/>
  <c r="G115" s="1"/>
  <c r="F124"/>
  <c r="G124" s="1"/>
  <c r="D163"/>
  <c r="E163" s="1"/>
  <c r="E169"/>
  <c r="D182"/>
  <c r="E182" s="1"/>
  <c r="F31" i="41"/>
  <c r="I31"/>
  <c r="D28"/>
  <c r="I64"/>
  <c r="G98"/>
  <c r="D51" i="24"/>
  <c r="E40"/>
  <c r="C36"/>
  <c r="D30"/>
  <c r="C25"/>
  <c r="E19"/>
  <c r="C17"/>
  <c r="E42" i="35"/>
  <c r="F44"/>
  <c r="F36"/>
  <c r="G42"/>
  <c r="G26"/>
  <c r="G123" i="40"/>
  <c r="E162"/>
  <c r="G8" i="35"/>
  <c r="D31" i="41"/>
  <c r="E64"/>
  <c r="C60" i="24"/>
  <c r="D52"/>
  <c r="C47"/>
  <c r="E41"/>
  <c r="C39"/>
  <c r="D34"/>
  <c r="E31"/>
  <c r="C26"/>
  <c r="D23"/>
  <c r="C18"/>
  <c r="E33" i="35"/>
  <c r="F39"/>
  <c r="G45"/>
  <c r="G29"/>
  <c r="E176" i="40"/>
  <c r="F126"/>
  <c r="G126" s="1"/>
  <c r="E168"/>
  <c r="G6" i="35"/>
  <c r="G16" l="1"/>
  <c r="C11" s="1"/>
  <c r="C12" s="1"/>
  <c r="C9" s="1"/>
  <c r="D20" i="41"/>
  <c r="C10" i="35"/>
  <c r="G162" i="40"/>
  <c r="H124"/>
  <c r="D30" i="41"/>
  <c r="C10" i="34"/>
  <c r="C12"/>
  <c r="C9" s="1"/>
  <c r="H30" i="41"/>
  <c r="I99"/>
  <c r="D89"/>
  <c r="H115" i="40"/>
  <c r="H126"/>
  <c r="H122"/>
  <c r="E99" i="41"/>
  <c r="G65"/>
  <c r="D15" i="40"/>
  <c r="F99" i="41"/>
  <c r="H65"/>
  <c r="D65"/>
  <c r="G99"/>
  <c r="I65"/>
  <c r="E65"/>
  <c r="D55"/>
  <c r="F30"/>
  <c r="I30"/>
  <c r="E30"/>
  <c r="G175" i="40"/>
  <c r="C13" i="35"/>
  <c r="H17" i="24"/>
  <c r="F95" i="40"/>
  <c r="H99" i="41"/>
  <c r="D99"/>
  <c r="F65"/>
  <c r="G30"/>
  <c r="F181" i="40"/>
  <c r="F178"/>
  <c r="C30" i="34"/>
  <c r="B56" i="40"/>
  <c r="C55"/>
  <c r="H29" i="34"/>
  <c r="L29" s="1"/>
  <c r="I29" s="1"/>
  <c r="J29" s="1"/>
  <c r="K29" s="1"/>
  <c r="M29" s="1"/>
  <c r="M28"/>
  <c r="H26"/>
  <c r="L26" s="1"/>
  <c r="I26" s="1"/>
  <c r="J26" s="1"/>
  <c r="K26" s="1"/>
  <c r="M26" s="1"/>
  <c r="C28" i="35"/>
  <c r="H27" i="34"/>
  <c r="L27" s="1"/>
  <c r="I27" s="1"/>
  <c r="J27" s="1"/>
  <c r="K27" s="1"/>
  <c r="M27" s="1"/>
  <c r="H28"/>
  <c r="L28" s="1"/>
  <c r="I28" s="1"/>
  <c r="J28" s="1"/>
  <c r="K28" s="1"/>
  <c r="H38"/>
  <c r="L38" s="1"/>
  <c r="I38" s="1"/>
  <c r="J38" s="1"/>
  <c r="K38" s="1"/>
  <c r="M38" s="1"/>
  <c r="C40"/>
  <c r="M39"/>
  <c r="C43" i="35"/>
  <c r="D130" i="41"/>
  <c r="D133"/>
  <c r="D136"/>
  <c r="D138"/>
  <c r="D140"/>
  <c r="D142"/>
  <c r="D144"/>
  <c r="D146"/>
  <c r="D148"/>
  <c r="D150"/>
  <c r="D152"/>
  <c r="D154"/>
  <c r="D156"/>
  <c r="D158"/>
  <c r="D131"/>
  <c r="D132"/>
  <c r="D134"/>
  <c r="D135"/>
  <c r="D137"/>
  <c r="D139"/>
  <c r="D141"/>
  <c r="D143"/>
  <c r="D145"/>
  <c r="D147"/>
  <c r="D149"/>
  <c r="D151"/>
  <c r="D153"/>
  <c r="D155"/>
  <c r="D157"/>
  <c r="D159"/>
  <c r="H40" i="34"/>
  <c r="L40" s="1"/>
  <c r="I40" s="1"/>
  <c r="J40" s="1"/>
  <c r="K40" s="1"/>
  <c r="G18" i="40"/>
  <c r="E159" i="41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I27"/>
  <c r="D103"/>
  <c r="D104" s="1"/>
  <c r="I34"/>
  <c r="I35" s="1"/>
  <c r="D69"/>
  <c r="D70" s="1"/>
  <c r="G34"/>
  <c r="G35" s="1"/>
  <c r="E69"/>
  <c r="E70" s="1"/>
  <c r="F103"/>
  <c r="F104" s="1"/>
  <c r="I103"/>
  <c r="I104" s="1"/>
  <c r="H34"/>
  <c r="H35" s="1"/>
  <c r="F69"/>
  <c r="F70" s="1"/>
  <c r="G103"/>
  <c r="G104" s="1"/>
  <c r="G22" i="40"/>
  <c r="G23" s="1"/>
  <c r="E103" i="41"/>
  <c r="E104" s="1"/>
  <c r="D34"/>
  <c r="D35" s="1"/>
  <c r="F22" i="40"/>
  <c r="F23" s="1"/>
  <c r="I69" i="41"/>
  <c r="I70" s="1"/>
  <c r="H69"/>
  <c r="H70" s="1"/>
  <c r="F34"/>
  <c r="F35" s="1"/>
  <c r="D22" i="40"/>
  <c r="D23" s="1"/>
  <c r="G69" i="41"/>
  <c r="G70" s="1"/>
  <c r="D95" i="40"/>
  <c r="E95" s="1"/>
  <c r="H103" i="41"/>
  <c r="H104" s="1"/>
  <c r="E34"/>
  <c r="E35" s="1"/>
  <c r="E36" l="1"/>
  <c r="E39" s="1"/>
  <c r="H105"/>
  <c r="H108" s="1"/>
  <c r="D97" i="40"/>
  <c r="D101" s="1"/>
  <c r="D103" s="1"/>
  <c r="G71" i="41"/>
  <c r="G74" s="1"/>
  <c r="D24" i="40"/>
  <c r="F36" i="41"/>
  <c r="F39" s="1"/>
  <c r="H71"/>
  <c r="H74" s="1"/>
  <c r="I71"/>
  <c r="I74" s="1"/>
  <c r="F24" i="40"/>
  <c r="F27" s="1"/>
  <c r="D36" i="41"/>
  <c r="D39" s="1"/>
  <c r="E105"/>
  <c r="E108" s="1"/>
  <c r="G24" i="40"/>
  <c r="G27" s="1"/>
  <c r="G105" i="41"/>
  <c r="G108" s="1"/>
  <c r="F71"/>
  <c r="F74" s="1"/>
  <c r="H36"/>
  <c r="H39" s="1"/>
  <c r="I105"/>
  <c r="I108" s="1"/>
  <c r="F105"/>
  <c r="F108" s="1"/>
  <c r="E71"/>
  <c r="E74" s="1"/>
  <c r="G36"/>
  <c r="G39" s="1"/>
  <c r="D71"/>
  <c r="D74" s="1"/>
  <c r="I36"/>
  <c r="I39" s="1"/>
  <c r="D105"/>
  <c r="D108" s="1"/>
  <c r="C29" i="35"/>
  <c r="C31" i="34"/>
  <c r="H30"/>
  <c r="L30" s="1"/>
  <c r="I30" s="1"/>
  <c r="J30" s="1"/>
  <c r="K30" s="1"/>
  <c r="M30"/>
  <c r="C41"/>
  <c r="M40"/>
  <c r="D25" i="40"/>
  <c r="D27"/>
  <c r="C56"/>
  <c r="B57"/>
  <c r="F168"/>
  <c r="G168" s="1"/>
  <c r="B168" s="1"/>
  <c r="G181"/>
  <c r="B181" s="1"/>
  <c r="D106" i="41"/>
  <c r="C44" i="35"/>
  <c r="G178" i="40"/>
  <c r="B178" s="1"/>
  <c r="F165"/>
  <c r="G165" s="1"/>
  <c r="B165" s="1"/>
  <c r="H26" i="35"/>
  <c r="L26" s="1"/>
  <c r="I26" s="1"/>
  <c r="J26" s="1"/>
  <c r="K26" s="1"/>
  <c r="M26" s="1"/>
  <c r="H28"/>
  <c r="L28" s="1"/>
  <c r="I28" s="1"/>
  <c r="J28" s="1"/>
  <c r="K28" s="1"/>
  <c r="M28" s="1"/>
  <c r="H38"/>
  <c r="L38" s="1"/>
  <c r="I38" s="1"/>
  <c r="J38" s="1"/>
  <c r="K38" s="1"/>
  <c r="M38" s="1"/>
  <c r="H40"/>
  <c r="L40" s="1"/>
  <c r="I40" s="1"/>
  <c r="J40" s="1"/>
  <c r="K40" s="1"/>
  <c r="M40" s="1"/>
  <c r="H42"/>
  <c r="L42" s="1"/>
  <c r="I42" s="1"/>
  <c r="J42" s="1"/>
  <c r="K42" s="1"/>
  <c r="M42" s="1"/>
  <c r="H44"/>
  <c r="L44" s="1"/>
  <c r="I44" s="1"/>
  <c r="J44" s="1"/>
  <c r="K44" s="1"/>
  <c r="H39"/>
  <c r="L39" s="1"/>
  <c r="I39" s="1"/>
  <c r="J39" s="1"/>
  <c r="K39" s="1"/>
  <c r="M39" s="1"/>
  <c r="H25"/>
  <c r="L25" s="1"/>
  <c r="I25" s="1"/>
  <c r="J25" s="1"/>
  <c r="K25" s="1"/>
  <c r="M25" s="1"/>
  <c r="H29"/>
  <c r="L29" s="1"/>
  <c r="I29" s="1"/>
  <c r="J29" s="1"/>
  <c r="K29" s="1"/>
  <c r="H37"/>
  <c r="L37" s="1"/>
  <c r="I37" s="1"/>
  <c r="J37" s="1"/>
  <c r="K37" s="1"/>
  <c r="M37" s="1"/>
  <c r="H41"/>
  <c r="L41" s="1"/>
  <c r="I41" s="1"/>
  <c r="J41" s="1"/>
  <c r="K41" s="1"/>
  <c r="M41" s="1"/>
  <c r="H27"/>
  <c r="L27" s="1"/>
  <c r="I27" s="1"/>
  <c r="J27" s="1"/>
  <c r="K27" s="1"/>
  <c r="M27" s="1"/>
  <c r="H43"/>
  <c r="L43" s="1"/>
  <c r="I43" s="1"/>
  <c r="J43" s="1"/>
  <c r="K43" s="1"/>
  <c r="M43" s="1"/>
  <c r="D105" i="40"/>
  <c r="D72" i="41" l="1"/>
  <c r="D73" s="1"/>
  <c r="D37"/>
  <c r="D40" s="1"/>
  <c r="D41" s="1"/>
  <c r="D42" s="1"/>
  <c r="D109" i="40"/>
  <c r="M44" i="35"/>
  <c r="C45"/>
  <c r="D38" i="41"/>
  <c r="C42" i="34"/>
  <c r="H41"/>
  <c r="L41" s="1"/>
  <c r="I41" s="1"/>
  <c r="J41" s="1"/>
  <c r="K41" s="1"/>
  <c r="M41" s="1"/>
  <c r="C30" i="35"/>
  <c r="M29"/>
  <c r="D75" i="41"/>
  <c r="D109"/>
  <c r="D107"/>
  <c r="B58" i="40"/>
  <c r="C57"/>
  <c r="C32" i="34"/>
  <c r="H31"/>
  <c r="L31" s="1"/>
  <c r="I31" s="1"/>
  <c r="J31" s="1"/>
  <c r="K31" s="1"/>
  <c r="M31" s="1"/>
  <c r="D28" i="40"/>
  <c r="D29" s="1"/>
  <c r="D30" s="1"/>
  <c r="D26"/>
  <c r="D76" i="41" l="1"/>
  <c r="D77" s="1"/>
  <c r="D110"/>
  <c r="D111" s="1"/>
  <c r="M32" i="34"/>
  <c r="C33"/>
  <c r="H32"/>
  <c r="L32" s="1"/>
  <c r="I32" s="1"/>
  <c r="J32" s="1"/>
  <c r="K32" s="1"/>
  <c r="B59" i="40"/>
  <c r="C58"/>
  <c r="C43" i="34"/>
  <c r="H42"/>
  <c r="L42" s="1"/>
  <c r="I42" s="1"/>
  <c r="J42" s="1"/>
  <c r="K42" s="1"/>
  <c r="M42" s="1"/>
  <c r="C46" i="35"/>
  <c r="H45"/>
  <c r="L45" s="1"/>
  <c r="I45" s="1"/>
  <c r="J45" s="1"/>
  <c r="K45" s="1"/>
  <c r="M45" s="1"/>
  <c r="I37" i="41"/>
  <c r="I40" s="1"/>
  <c r="I41" s="1"/>
  <c r="H72"/>
  <c r="H75" s="1"/>
  <c r="H76" s="1"/>
  <c r="F106"/>
  <c r="F109" s="1"/>
  <c r="F110" s="1"/>
  <c r="F37"/>
  <c r="F40" s="1"/>
  <c r="F41" s="1"/>
  <c r="G37"/>
  <c r="G40" s="1"/>
  <c r="G41" s="1"/>
  <c r="E72"/>
  <c r="E75" s="1"/>
  <c r="E76" s="1"/>
  <c r="I72"/>
  <c r="I75" s="1"/>
  <c r="I76" s="1"/>
  <c r="G106"/>
  <c r="G109" s="1"/>
  <c r="G110" s="1"/>
  <c r="E37"/>
  <c r="E40" s="1"/>
  <c r="E41" s="1"/>
  <c r="F72"/>
  <c r="F75" s="1"/>
  <c r="F76" s="1"/>
  <c r="H106"/>
  <c r="H109" s="1"/>
  <c r="H110" s="1"/>
  <c r="I106"/>
  <c r="I109" s="1"/>
  <c r="I110" s="1"/>
  <c r="G72"/>
  <c r="G75" s="1"/>
  <c r="G76" s="1"/>
  <c r="H37"/>
  <c r="H40" s="1"/>
  <c r="H41" s="1"/>
  <c r="E106"/>
  <c r="E109" s="1"/>
  <c r="E110" s="1"/>
  <c r="F25" i="40"/>
  <c r="F28" s="1"/>
  <c r="F29" s="1"/>
  <c r="G25"/>
  <c r="G28" s="1"/>
  <c r="G29" s="1"/>
  <c r="C31" i="35"/>
  <c r="H30"/>
  <c r="L30" s="1"/>
  <c r="I30" s="1"/>
  <c r="J30" s="1"/>
  <c r="K30" s="1"/>
  <c r="M30" s="1"/>
  <c r="G77" i="41" l="1"/>
  <c r="G54"/>
  <c r="H19"/>
  <c r="H42"/>
  <c r="F54"/>
  <c r="F77"/>
  <c r="E54"/>
  <c r="E77"/>
  <c r="H77"/>
  <c r="H54"/>
  <c r="C47" i="35"/>
  <c r="H46"/>
  <c r="L46" s="1"/>
  <c r="I46" s="1"/>
  <c r="J46" s="1"/>
  <c r="K46" s="1"/>
  <c r="M46" s="1"/>
  <c r="C32"/>
  <c r="H31"/>
  <c r="L31" s="1"/>
  <c r="I31" s="1"/>
  <c r="J31" s="1"/>
  <c r="K31" s="1"/>
  <c r="M31" s="1"/>
  <c r="E111" i="41"/>
  <c r="E88"/>
  <c r="H88"/>
  <c r="H111"/>
  <c r="I54"/>
  <c r="I77"/>
  <c r="F111"/>
  <c r="F88"/>
  <c r="C34" i="34"/>
  <c r="H33"/>
  <c r="L33" s="1"/>
  <c r="I33" s="1"/>
  <c r="J33" s="1"/>
  <c r="K33" s="1"/>
  <c r="M33" s="1"/>
  <c r="F14" i="40"/>
  <c r="F30"/>
  <c r="I111" i="41"/>
  <c r="I88"/>
  <c r="G88"/>
  <c r="G111"/>
  <c r="F19"/>
  <c r="F42"/>
  <c r="C44" i="34"/>
  <c r="M43"/>
  <c r="H43"/>
  <c r="L43" s="1"/>
  <c r="I43" s="1"/>
  <c r="J43" s="1"/>
  <c r="K43" s="1"/>
  <c r="G30" i="40"/>
  <c r="G14"/>
  <c r="E42" i="41"/>
  <c r="E19"/>
  <c r="G19"/>
  <c r="G42"/>
  <c r="I42"/>
  <c r="I19"/>
  <c r="B60" i="40"/>
  <c r="C59"/>
  <c r="E87" i="41"/>
  <c r="E101" s="1"/>
  <c r="I87"/>
  <c r="I101" s="1"/>
  <c r="G18"/>
  <c r="G32" s="1"/>
  <c r="H18"/>
  <c r="H32" s="1"/>
  <c r="E53"/>
  <c r="E67" s="1"/>
  <c r="I53"/>
  <c r="I67" s="1"/>
  <c r="F18"/>
  <c r="F32" s="1"/>
  <c r="E18"/>
  <c r="E32" s="1"/>
  <c r="I18"/>
  <c r="I32" s="1"/>
  <c r="G53"/>
  <c r="G67" s="1"/>
  <c r="H53"/>
  <c r="H67" s="1"/>
  <c r="F87"/>
  <c r="F101" s="1"/>
  <c r="F53"/>
  <c r="F67" s="1"/>
  <c r="H87"/>
  <c r="H101" s="1"/>
  <c r="G87"/>
  <c r="G101" s="1"/>
  <c r="F13" i="40"/>
  <c r="F20" s="1"/>
  <c r="G13"/>
  <c r="G20" s="1"/>
  <c r="G15" l="1"/>
  <c r="F15"/>
  <c r="G89" i="41"/>
  <c r="G91" s="1"/>
  <c r="G92" s="1"/>
  <c r="H89"/>
  <c r="H91" s="1"/>
  <c r="H92" s="1"/>
  <c r="F55"/>
  <c r="F57" s="1"/>
  <c r="F58" s="1"/>
  <c r="F89"/>
  <c r="F91" s="1"/>
  <c r="F92" s="1"/>
  <c r="H55"/>
  <c r="H57" s="1"/>
  <c r="H58" s="1"/>
  <c r="G55"/>
  <c r="G57" s="1"/>
  <c r="G58" s="1"/>
  <c r="I20"/>
  <c r="I22" s="1"/>
  <c r="I23" s="1"/>
  <c r="E20"/>
  <c r="F20"/>
  <c r="F22" s="1"/>
  <c r="F23" s="1"/>
  <c r="I55"/>
  <c r="I57" s="1"/>
  <c r="I58" s="1"/>
  <c r="E55"/>
  <c r="H20"/>
  <c r="H22" s="1"/>
  <c r="H23" s="1"/>
  <c r="G20"/>
  <c r="G22" s="1"/>
  <c r="G23" s="1"/>
  <c r="I89"/>
  <c r="I91" s="1"/>
  <c r="I92" s="1"/>
  <c r="E89"/>
  <c r="C35" i="34"/>
  <c r="H34"/>
  <c r="L34" s="1"/>
  <c r="I34" s="1"/>
  <c r="J34" s="1"/>
  <c r="K34" s="1"/>
  <c r="M34" s="1"/>
  <c r="C60" i="40"/>
  <c r="B61"/>
  <c r="C33" i="35"/>
  <c r="H32"/>
  <c r="L32" s="1"/>
  <c r="I32" s="1"/>
  <c r="J32" s="1"/>
  <c r="K32" s="1"/>
  <c r="M32" s="1"/>
  <c r="H47"/>
  <c r="L47" s="1"/>
  <c r="I47" s="1"/>
  <c r="J47" s="1"/>
  <c r="K47" s="1"/>
  <c r="M47" s="1"/>
  <c r="C45" i="34"/>
  <c r="H44"/>
  <c r="L44" s="1"/>
  <c r="I44" s="1"/>
  <c r="J44" s="1"/>
  <c r="K44" s="1"/>
  <c r="M44" s="1"/>
  <c r="B62" i="40" l="1"/>
  <c r="C61"/>
  <c r="C36" i="34"/>
  <c r="H35"/>
  <c r="L35" s="1"/>
  <c r="I35" s="1"/>
  <c r="J35" s="1"/>
  <c r="K35" s="1"/>
  <c r="M35" s="1"/>
  <c r="C46"/>
  <c r="H45"/>
  <c r="L45" s="1"/>
  <c r="I45" s="1"/>
  <c r="J45" s="1"/>
  <c r="K45" s="1"/>
  <c r="M45" s="1"/>
  <c r="C34" i="35"/>
  <c r="H33"/>
  <c r="L33" s="1"/>
  <c r="I33" s="1"/>
  <c r="J33" s="1"/>
  <c r="K33" s="1"/>
  <c r="M33" s="1"/>
  <c r="C35" l="1"/>
  <c r="H34"/>
  <c r="L34" s="1"/>
  <c r="I34" s="1"/>
  <c r="J34" s="1"/>
  <c r="K34" s="1"/>
  <c r="M34" s="1"/>
  <c r="B63" i="40"/>
  <c r="C62"/>
  <c r="C47" i="34"/>
  <c r="H46"/>
  <c r="L46" s="1"/>
  <c r="I46" s="1"/>
  <c r="J46" s="1"/>
  <c r="K46" s="1"/>
  <c r="M46" s="1"/>
  <c r="M36"/>
  <c r="H36"/>
  <c r="L36" s="1"/>
  <c r="I36" s="1"/>
  <c r="J36" s="1"/>
  <c r="K36" s="1"/>
  <c r="M47" l="1"/>
  <c r="H47"/>
  <c r="L47" s="1"/>
  <c r="I47" s="1"/>
  <c r="J47" s="1"/>
  <c r="K47" s="1"/>
  <c r="C36" i="35"/>
  <c r="H35"/>
  <c r="L35" s="1"/>
  <c r="I35" s="1"/>
  <c r="J35" s="1"/>
  <c r="K35" s="1"/>
  <c r="M35" s="1"/>
  <c r="B64" i="40"/>
  <c r="C63"/>
  <c r="H36" i="35" l="1"/>
  <c r="L36" s="1"/>
  <c r="I36" s="1"/>
  <c r="J36" s="1"/>
  <c r="K36" s="1"/>
  <c r="M36" s="1"/>
  <c r="C64" i="40"/>
  <c r="B65"/>
  <c r="B66" l="1"/>
  <c r="C65"/>
  <c r="B67" l="1"/>
  <c r="C66"/>
  <c r="B68" l="1"/>
  <c r="C67"/>
  <c r="C68" l="1"/>
  <c r="B69"/>
  <c r="B70" l="1"/>
  <c r="C69"/>
  <c r="B71" l="1"/>
  <c r="C70"/>
  <c r="B72" l="1"/>
  <c r="C71"/>
  <c r="C72" l="1"/>
  <c r="B73"/>
  <c r="B74" l="1"/>
  <c r="C73"/>
  <c r="B75" l="1"/>
  <c r="C74"/>
  <c r="B76" l="1"/>
  <c r="C75"/>
  <c r="C76" l="1"/>
  <c r="B77"/>
  <c r="B78" l="1"/>
  <c r="C77"/>
  <c r="B79" l="1"/>
  <c r="C78"/>
  <c r="B80" l="1"/>
  <c r="C79"/>
  <c r="C80" l="1"/>
  <c r="B81"/>
  <c r="C81" s="1"/>
</calcChain>
</file>

<file path=xl/sharedStrings.xml><?xml version="1.0" encoding="utf-8"?>
<sst xmlns="http://schemas.openxmlformats.org/spreadsheetml/2006/main" count="476" uniqueCount="240">
  <si>
    <t>Liste des fluides disponibles</t>
  </si>
  <si>
    <t>Ammoniac</t>
  </si>
  <si>
    <t>C:\Program files\GaspakDemo5\NH379.gas</t>
  </si>
  <si>
    <t>Argon</t>
  </si>
  <si>
    <t>C:\Program files\GaspakDemo5\ARGON83.gas</t>
  </si>
  <si>
    <t>Azote</t>
  </si>
  <si>
    <t>C:\Program files\GaspakDemo5\N273.gas</t>
  </si>
  <si>
    <t>C:\Program files\GaspakDemo5\N286.gas</t>
  </si>
  <si>
    <t>Butane Normal</t>
  </si>
  <si>
    <t>C:\Program files\GaspakDemo5\NORB86.gas</t>
  </si>
  <si>
    <t>Deutérium</t>
  </si>
  <si>
    <t>C:\Program files\GaspakDemo5\D286.gas</t>
  </si>
  <si>
    <t>Dioxide de carbone</t>
  </si>
  <si>
    <t>C:\Program files\GaspakDemo5\CO289.gas</t>
  </si>
  <si>
    <t>Eau</t>
  </si>
  <si>
    <t>C:\Program files\GaspakDemo5\H2O89.gas</t>
  </si>
  <si>
    <t>Ethane</t>
  </si>
  <si>
    <t>C:\Program files\GaspakDemo5\C2H686.gas</t>
  </si>
  <si>
    <t>Ethylène</t>
  </si>
  <si>
    <t>C:\Program files\GaspakDemo5\C2H481.gas</t>
  </si>
  <si>
    <t>C:\Program files\GaspakDemo5\C2H486.gas</t>
  </si>
  <si>
    <t>Helium</t>
  </si>
  <si>
    <t>C:\Program files\GaspakDemo5\HE89.gas</t>
  </si>
  <si>
    <t>Hydrogen Sulfide</t>
  </si>
  <si>
    <t>C:\Program files\GaspakDemo5\H2S93.gas</t>
  </si>
  <si>
    <t>Isobutane</t>
  </si>
  <si>
    <t>C:\Program files\GaspakDemo5\ISOB86.gas</t>
  </si>
  <si>
    <t>Krypton</t>
  </si>
  <si>
    <t>C:\Program files\GaspakDemo5\KR90.gas</t>
  </si>
  <si>
    <t>Méthane</t>
  </si>
  <si>
    <t>C:\Program files\GaspakDemo5\METH86.gas</t>
  </si>
  <si>
    <t>C:\Program files\GaspakDemo5\CH489.gas</t>
  </si>
  <si>
    <t>Monoxide de carbone</t>
  </si>
  <si>
    <t>C:\Program files\GaspakDemo5\CO85.gas</t>
  </si>
  <si>
    <t>Néon</t>
  </si>
  <si>
    <t>C:\Program files\GaspakDemo5\NE91.gas</t>
  </si>
  <si>
    <t>Nitrogene Trifluoride</t>
  </si>
  <si>
    <t>C:\Program files\GaspakDemo5\NF380.gas</t>
  </si>
  <si>
    <t>Normal Hydrogene</t>
  </si>
  <si>
    <t>C:\Program files\GaspakDemo5\NH291.gas</t>
  </si>
  <si>
    <t>Oxygène</t>
  </si>
  <si>
    <t>C:\Program files\GaspakDemo5\O278.gas</t>
  </si>
  <si>
    <t>C:\Program files\GaspakDemo5\O285.gas</t>
  </si>
  <si>
    <t>C:\Program files\GaspakDemo5\PH275.gas</t>
  </si>
  <si>
    <t>Propane</t>
  </si>
  <si>
    <t>C:\Program files\GaspakDemo5\C3H886.gas</t>
  </si>
  <si>
    <t>R11</t>
  </si>
  <si>
    <t>C:\Program files\GaspakDemo5\R1191.gas</t>
  </si>
  <si>
    <t>R12</t>
  </si>
  <si>
    <t>C:\Program files\GaspakDemo5\R1291.gas</t>
  </si>
  <si>
    <t>R123</t>
  </si>
  <si>
    <t>C:\Program files\GaspakDemo5\R123N93.gas</t>
  </si>
  <si>
    <t>R124</t>
  </si>
  <si>
    <t>C:\Program files\GaspakDemo5\R124N93.gas</t>
  </si>
  <si>
    <t>R125</t>
  </si>
  <si>
    <t>C:\Program files\GaspakDemo5\R125N93.gas</t>
  </si>
  <si>
    <t>R134</t>
  </si>
  <si>
    <t>C:\Program files\GaspakDemo5\R134AN92.gas</t>
  </si>
  <si>
    <t>C:\Program files\GaspakDemo5\R134AT93.gas</t>
  </si>
  <si>
    <t>R152</t>
  </si>
  <si>
    <t>C:\Program files\GaspakDemo5\R152AT94.gas</t>
  </si>
  <si>
    <t>R22</t>
  </si>
  <si>
    <t>C:\Program files\GaspakDemo5\R2291.gas</t>
  </si>
  <si>
    <t>R32</t>
  </si>
  <si>
    <t>C:\Program files\GaspakDemo5\R32N93.gas</t>
  </si>
  <si>
    <t>C:\Program files\GaspakDemo5\R32N94.gas</t>
  </si>
  <si>
    <t>Xénon</t>
  </si>
  <si>
    <t>C:\Program files\GaspakDemo5\\XE90.gas</t>
  </si>
  <si>
    <t>Phosphine</t>
  </si>
  <si>
    <t>Protoxyde d'azote</t>
  </si>
  <si>
    <t>R11 gaz</t>
  </si>
  <si>
    <t>R12 gaz</t>
  </si>
  <si>
    <t>R22 gaz</t>
  </si>
  <si>
    <t>Silane</t>
  </si>
  <si>
    <t>Sulfure d'hydrogène</t>
  </si>
  <si>
    <t>R11 liq</t>
  </si>
  <si>
    <t>R12 liq</t>
  </si>
  <si>
    <t>R22 liq</t>
  </si>
  <si>
    <t>R32 liq</t>
  </si>
  <si>
    <t>R123 liq</t>
  </si>
  <si>
    <t>R124 liq</t>
  </si>
  <si>
    <t>R125 liq</t>
  </si>
  <si>
    <t>R152a liq</t>
  </si>
  <si>
    <t>a</t>
  </si>
  <si>
    <t>g/s</t>
  </si>
  <si>
    <t>Name</t>
  </si>
  <si>
    <t xml:space="preserve">Pression </t>
  </si>
  <si>
    <t>K</t>
  </si>
  <si>
    <t>m/s</t>
  </si>
  <si>
    <t>Cp</t>
  </si>
  <si>
    <t>HePak Spreadsheet Example</t>
  </si>
  <si>
    <t>Using HeCalc, HeProperty, HeUnit and HeInput</t>
  </si>
  <si>
    <t>Try new input values (shown in red)</t>
  </si>
  <si>
    <t>Thermodynamic state definition</t>
  </si>
  <si>
    <t>Input 1</t>
  </si>
  <si>
    <t>Input 2</t>
  </si>
  <si>
    <t>Validate</t>
  </si>
  <si>
    <t>Index</t>
  </si>
  <si>
    <t>Value</t>
  </si>
  <si>
    <t>Unit System</t>
  </si>
  <si>
    <t>Units</t>
  </si>
  <si>
    <t>Error Message</t>
  </si>
  <si>
    <t>Property</t>
  </si>
  <si>
    <t xml:space="preserve"> reserved</t>
  </si>
  <si>
    <t>Input only</t>
  </si>
  <si>
    <t xml:space="preserve"> N/A</t>
  </si>
  <si>
    <t>%</t>
  </si>
  <si>
    <t>Débit massique</t>
  </si>
  <si>
    <t>s</t>
  </si>
  <si>
    <t>Pression d'entrée</t>
  </si>
  <si>
    <t>Bara</t>
  </si>
  <si>
    <t>g</t>
  </si>
  <si>
    <t>Température d'entrée</t>
  </si>
  <si>
    <t>Z</t>
  </si>
  <si>
    <t>Pression de sortie</t>
  </si>
  <si>
    <t>Température de sortie</t>
  </si>
  <si>
    <t>Kd</t>
  </si>
  <si>
    <t>Vitesse</t>
  </si>
  <si>
    <t>Hz</t>
  </si>
  <si>
    <t>Ra</t>
  </si>
  <si>
    <t>Rendement isentropique</t>
  </si>
  <si>
    <t>R</t>
  </si>
  <si>
    <t>Puissance</t>
  </si>
  <si>
    <t>W</t>
  </si>
  <si>
    <t>M</t>
  </si>
  <si>
    <t>Cft</t>
  </si>
  <si>
    <t>[--]</t>
  </si>
  <si>
    <t>J</t>
  </si>
  <si>
    <t>T Inlet (K)</t>
  </si>
  <si>
    <t>Débit (g/s)</t>
  </si>
  <si>
    <t>Rndt</t>
  </si>
  <si>
    <t>PW</t>
  </si>
  <si>
    <t xml:space="preserve">Vitesse </t>
  </si>
  <si>
    <t xml:space="preserve">T outlet </t>
  </si>
  <si>
    <r>
      <t>f</t>
    </r>
    <r>
      <rPr>
        <i/>
        <vertAlign val="subscript"/>
        <sz val="10"/>
        <rFont val="Arial"/>
        <family val="2"/>
      </rPr>
      <t>0</t>
    </r>
  </si>
  <si>
    <r>
      <t>W</t>
    </r>
    <r>
      <rPr>
        <vertAlign val="subscript"/>
        <sz val="10"/>
        <rFont val="Arial"/>
        <family val="2"/>
      </rPr>
      <t>0</t>
    </r>
  </si>
  <si>
    <t>Pression</t>
  </si>
  <si>
    <t>J/g</t>
  </si>
  <si>
    <t>P
(bar)</t>
  </si>
  <si>
    <t>T
(K)</t>
  </si>
  <si>
    <t>H
(J/g)</t>
  </si>
  <si>
    <t>m
(g/s)</t>
  </si>
  <si>
    <t>Power
(W)</t>
  </si>
  <si>
    <t>S
(J/g)</t>
  </si>
  <si>
    <t>P=K*d*N^3</t>
  </si>
  <si>
    <t>d: Densité du gas côté frein.</t>
  </si>
  <si>
    <t>Relation entre la puissance et la vitesse de rotation</t>
  </si>
  <si>
    <t>Efficacité</t>
  </si>
  <si>
    <t>Calcul de la temperature de sortie d'une turbine</t>
  </si>
  <si>
    <t>Or on a une efficacité de</t>
  </si>
  <si>
    <t>On obtient un ΔHiso de :</t>
  </si>
  <si>
    <t>On obtient donc Hout(réel)</t>
  </si>
  <si>
    <t>Soit ΔH(réel) :</t>
  </si>
  <si>
    <t>On peut donc calculer Tout</t>
  </si>
  <si>
    <t>On a un débit massique de</t>
  </si>
  <si>
    <t>Soit une puissance de</t>
  </si>
  <si>
    <t>P
(W)</t>
  </si>
  <si>
    <t>Débit
(g/s)</t>
  </si>
  <si>
    <t>Synthèse</t>
  </si>
  <si>
    <t>Démarche</t>
  </si>
  <si>
    <t>On calcul Tout(iso) puis Hout(iso) à l'aide de l'entropie</t>
  </si>
  <si>
    <t>Relation entre le débit, la pression et la température en entrée de turbine</t>
  </si>
  <si>
    <t>Evolution de la chute enthalpique en fonciton de la température</t>
  </si>
  <si>
    <t>Application au Cool down</t>
  </si>
  <si>
    <t>Pour Pin et Pout constants, m diminue si T augmente</t>
  </si>
  <si>
    <t>TURBINE T2</t>
  </si>
  <si>
    <t>TURBINE T1</t>
  </si>
  <si>
    <t>m</t>
  </si>
  <si>
    <t>mm</t>
  </si>
  <si>
    <t>Power</t>
  </si>
  <si>
    <t>Hydrogène Para</t>
  </si>
  <si>
    <t>Pin</t>
  </si>
  <si>
    <t>Pout</t>
  </si>
  <si>
    <t>Tin</t>
  </si>
  <si>
    <t>Tout</t>
  </si>
  <si>
    <t>T1</t>
  </si>
  <si>
    <r>
      <t>On a :</t>
    </r>
    <r>
      <rPr>
        <sz val="10"/>
        <rFont val="Arial"/>
      </rPr>
      <t xml:space="preserve"> Pin, Tin, rdt isenthropique, Tin et Pout. On veut Tout.</t>
    </r>
  </si>
  <si>
    <t>rendement=(0,321*rap^4 - 1,6098*rap^3 + 1,316*rap^2 + 0,9448*rap)*(ETAgar/0,97)</t>
  </si>
  <si>
    <t>U1/CO _nom</t>
  </si>
  <si>
    <t>Eta_gar</t>
  </si>
  <si>
    <t>u1/Co</t>
  </si>
  <si>
    <t>Rdt</t>
  </si>
  <si>
    <r>
      <t>F</t>
    </r>
    <r>
      <rPr>
        <sz val="10"/>
        <color indexed="12"/>
        <rFont val="Times New Roman"/>
        <family val="1"/>
      </rPr>
      <t xml:space="preserve"> Let u be the peripheral speed of the wheel : u = </t>
    </r>
    <r>
      <rPr>
        <sz val="10"/>
        <color indexed="12"/>
        <rFont val="Symbol"/>
        <family val="1"/>
        <charset val="2"/>
      </rPr>
      <t xml:space="preserve">p </t>
    </r>
    <r>
      <rPr>
        <sz val="10"/>
        <color indexed="12"/>
        <rFont val="Times New Roman"/>
        <family val="1"/>
      </rPr>
      <t xml:space="preserve">. </t>
    </r>
    <r>
      <rPr>
        <sz val="10"/>
        <color indexed="12"/>
        <rFont val="Symbol"/>
        <family val="1"/>
        <charset val="2"/>
      </rPr>
      <t xml:space="preserve">Æ </t>
    </r>
    <r>
      <rPr>
        <sz val="10"/>
        <color indexed="12"/>
        <rFont val="Times New Roman"/>
        <family val="1"/>
      </rPr>
      <t>. N / 60                      (in m/s)</t>
    </r>
  </si>
  <si>
    <r>
      <t>F</t>
    </r>
    <r>
      <rPr>
        <sz val="10"/>
        <color indexed="12"/>
        <rFont val="Times New Roman"/>
        <family val="1"/>
      </rPr>
      <t xml:space="preserve"> Let </t>
    </r>
    <r>
      <rPr>
        <sz val="10"/>
        <color indexed="12"/>
        <rFont val="Symbol"/>
        <family val="1"/>
        <charset val="2"/>
      </rPr>
      <t>n</t>
    </r>
    <r>
      <rPr>
        <sz val="10"/>
        <color indexed="12"/>
        <rFont val="Times New Roman"/>
        <family val="1"/>
      </rPr>
      <t xml:space="preserve">, be the speed ratio of the turbine : </t>
    </r>
    <r>
      <rPr>
        <sz val="10"/>
        <color indexed="10"/>
        <rFont val="Symbol"/>
        <family val="1"/>
        <charset val="2"/>
      </rPr>
      <t>n</t>
    </r>
    <r>
      <rPr>
        <sz val="10"/>
        <color indexed="10"/>
        <rFont val="Times New Roman"/>
        <family val="1"/>
      </rPr>
      <t xml:space="preserve"> =  u / [ 2 . (H</t>
    </r>
    <r>
      <rPr>
        <vertAlign val="subscript"/>
        <sz val="10"/>
        <color indexed="10"/>
        <rFont val="Times New Roman"/>
        <family val="1"/>
      </rPr>
      <t>1</t>
    </r>
    <r>
      <rPr>
        <sz val="10"/>
        <color indexed="10"/>
        <rFont val="Times New Roman"/>
        <family val="1"/>
      </rPr>
      <t xml:space="preserve"> - H</t>
    </r>
    <r>
      <rPr>
        <vertAlign val="subscript"/>
        <sz val="10"/>
        <color indexed="10"/>
        <rFont val="Times New Roman"/>
        <family val="1"/>
      </rPr>
      <t>2S</t>
    </r>
    <r>
      <rPr>
        <sz val="10"/>
        <color indexed="10"/>
        <rFont val="Times New Roman"/>
        <family val="1"/>
      </rPr>
      <t xml:space="preserve"> ) ] </t>
    </r>
    <r>
      <rPr>
        <vertAlign val="superscript"/>
        <sz val="10"/>
        <color indexed="10"/>
        <rFont val="Times New Roman"/>
        <family val="1"/>
      </rPr>
      <t>0.5</t>
    </r>
    <r>
      <rPr>
        <sz val="10"/>
        <color indexed="12"/>
        <rFont val="Times New Roman"/>
        <family val="1"/>
      </rPr>
      <t xml:space="preserve">       (dimensionless number)</t>
    </r>
  </si>
  <si>
    <t>N = speed of rotation of the turbine (in rpm)</t>
  </si>
  <si>
    <r>
      <t>Æ</t>
    </r>
    <r>
      <rPr>
        <sz val="10"/>
        <color indexed="12"/>
        <rFont val="Times New Roman"/>
        <family val="1"/>
      </rPr>
      <t xml:space="preserve"> = diameter of the wheel of the turbine (in m)</t>
    </r>
  </si>
  <si>
    <t>d : mm</t>
  </si>
  <si>
    <t>N : Hz</t>
  </si>
  <si>
    <t>H : J/kG</t>
  </si>
  <si>
    <t>Co = (2*ΔHs)^0,5</t>
  </si>
  <si>
    <t>Hin</t>
  </si>
  <si>
    <t>Hout</t>
  </si>
  <si>
    <t>Sin = Sout</t>
  </si>
  <si>
    <t>Tout(iso)</t>
  </si>
  <si>
    <t>Hout(iso)</t>
  </si>
  <si>
    <t>ΔHs</t>
  </si>
  <si>
    <t>ATTENTION : EFFICACITE CONSTANTE</t>
  </si>
  <si>
    <t>T2_turb(gas, Pin, T, Pout, r)</t>
  </si>
  <si>
    <t>Démonstration</t>
  </si>
  <si>
    <t>Le débit massique entrant dans la turbine est :</t>
  </si>
  <si>
    <t xml:space="preserve">La vitesse du son d'un gas parfait peut s'écrire : </t>
  </si>
  <si>
    <t>Dans le cas d'un écoulement sonique on pourra donc écrire :</t>
  </si>
  <si>
    <t xml:space="preserve">Or pour un gas parfait on a : </t>
  </si>
  <si>
    <t>soit</t>
  </si>
  <si>
    <t>DESIGN</t>
  </si>
  <si>
    <t>OFF_01</t>
  </si>
  <si>
    <t>Pour un écoulement sonique (Pin &gt; 2xPout)</t>
  </si>
  <si>
    <t>Courbe de rendement TC3</t>
  </si>
  <si>
    <r>
      <t>a</t>
    </r>
    <r>
      <rPr>
        <b/>
        <sz val="10"/>
        <color indexed="10"/>
        <rFont val="Arial"/>
      </rPr>
      <t xml:space="preserve"> = m</t>
    </r>
    <r>
      <rPr>
        <b/>
        <sz val="10"/>
        <color indexed="10"/>
        <rFont val="Symbol"/>
        <family val="1"/>
        <charset val="2"/>
      </rPr>
      <t>Ö</t>
    </r>
    <r>
      <rPr>
        <b/>
        <sz val="10"/>
        <color indexed="10"/>
        <rFont val="Arial"/>
      </rPr>
      <t>T/P</t>
    </r>
  </si>
  <si>
    <t>Cooldown</t>
  </si>
  <si>
    <t>On estime que T2 atteint rapidement sa vitesse nominale.</t>
  </si>
  <si>
    <t>Efficacity</t>
  </si>
  <si>
    <t>Wheel</t>
  </si>
  <si>
    <t>Speed</t>
  </si>
  <si>
    <t>On connait donc :</t>
  </si>
  <si>
    <t>- Puissance T2</t>
  </si>
  <si>
    <t>- P2(out)</t>
  </si>
  <si>
    <t>La vitesse de T1 est limitée par T2. Or la puissance décroit en ^3 par rapport à la vitesse.</t>
  </si>
  <si>
    <t>Donc la puissance de T1 est négligée au départ</t>
  </si>
  <si>
    <t>D1</t>
  </si>
  <si>
    <t>U1/C0</t>
  </si>
  <si>
    <t>U1/C0 off de / U1/C0 nom</t>
  </si>
  <si>
    <t>u1</t>
  </si>
  <si>
    <t>²</t>
  </si>
  <si>
    <t>TURBINE 1</t>
  </si>
  <si>
    <t>Brake Pressure</t>
  </si>
  <si>
    <t>Rho (brake)</t>
  </si>
  <si>
    <t>Rho (in)</t>
  </si>
  <si>
    <t>kg/m3</t>
  </si>
  <si>
    <t>Sound Speed</t>
  </si>
  <si>
    <t>S=Q/(rho*V) = cte</t>
  </si>
  <si>
    <t>MAX</t>
  </si>
  <si>
    <t>MIN</t>
  </si>
  <si>
    <t>STS</t>
  </si>
  <si>
    <t>BAKING</t>
  </si>
  <si>
    <t>TURBINE 2</t>
  </si>
  <si>
    <t>T2</t>
  </si>
  <si>
    <t>TURBINE 3</t>
  </si>
  <si>
    <t>T3</t>
  </si>
  <si>
    <t>T1+T2</t>
  </si>
</sst>
</file>

<file path=xl/styles.xml><?xml version="1.0" encoding="utf-8"?>
<styleSheet xmlns="http://schemas.openxmlformats.org/spreadsheetml/2006/main">
  <numFmts count="12">
    <numFmt numFmtId="168" formatCode="0.000"/>
    <numFmt numFmtId="169" formatCode="0.0000"/>
    <numFmt numFmtId="170" formatCode="0.0"/>
    <numFmt numFmtId="171" formatCode="0.000E+00"/>
    <numFmt numFmtId="172" formatCode="0.0000E+00"/>
    <numFmt numFmtId="173" formatCode="0.00&quot; J/g&quot;"/>
    <numFmt numFmtId="174" formatCode="0.00&quot; m/s&quot;"/>
    <numFmt numFmtId="175" formatCode="0.000&quot; m&quot;"/>
    <numFmt numFmtId="179" formatCode="0&quot; kg/m3&quot;"/>
    <numFmt numFmtId="180" formatCode="0&quot; m/s&quot;"/>
    <numFmt numFmtId="183" formatCode="#,##0.00000"/>
    <numFmt numFmtId="185" formatCode="#,##0&quot; g/s&quot;"/>
  </numFmts>
  <fonts count="54">
    <font>
      <sz val="10"/>
      <name val="Arial"/>
    </font>
    <font>
      <sz val="10"/>
      <name val="Arial"/>
    </font>
    <font>
      <sz val="10"/>
      <name val="Times New Roman"/>
    </font>
    <font>
      <b/>
      <sz val="10"/>
      <name val="Arial"/>
    </font>
    <font>
      <sz val="13.5"/>
      <name val="MS Sans Serif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sz val="8"/>
      <name val="Arial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10"/>
      <name val="Times New Roman"/>
      <family val="1"/>
    </font>
    <font>
      <sz val="10"/>
      <color indexed="10"/>
      <name val="Symbol"/>
      <family val="1"/>
      <charset val="2"/>
    </font>
    <font>
      <b/>
      <sz val="12"/>
      <name val="Arial"/>
      <family val="2"/>
    </font>
    <font>
      <sz val="10"/>
      <name val="Courier New"/>
      <family val="3"/>
    </font>
    <font>
      <sz val="10"/>
      <color indexed="12"/>
      <name val="Arial"/>
    </font>
    <font>
      <sz val="10"/>
      <name val="Symbol"/>
      <family val="1"/>
      <charset val="2"/>
    </font>
    <font>
      <b/>
      <sz val="10"/>
      <color indexed="9"/>
      <name val="Arial"/>
      <family val="2"/>
    </font>
    <font>
      <i/>
      <vertAlign val="subscript"/>
      <sz val="10"/>
      <name val="Arial"/>
      <family val="2"/>
    </font>
    <font>
      <sz val="10"/>
      <color indexed="10"/>
      <name val="Arial"/>
    </font>
    <font>
      <vertAlign val="subscript"/>
      <sz val="10"/>
      <name val="Arial"/>
      <family val="2"/>
    </font>
    <font>
      <b/>
      <sz val="10"/>
      <color indexed="48"/>
      <name val="Arial"/>
      <family val="2"/>
    </font>
    <font>
      <b/>
      <sz val="10"/>
      <color indexed="14"/>
      <name val="Arial"/>
      <family val="2"/>
    </font>
    <font>
      <sz val="10"/>
      <color indexed="8"/>
      <name val="Arial"/>
      <family val="2"/>
    </font>
    <font>
      <b/>
      <sz val="10"/>
      <name val="Symbol"/>
      <family val="1"/>
      <charset val="2"/>
    </font>
    <font>
      <sz val="10"/>
      <color indexed="12"/>
      <name val="Times New Roman"/>
      <family val="1"/>
    </font>
    <font>
      <sz val="10"/>
      <color indexed="12"/>
      <name val="Wingdings"/>
      <charset val="2"/>
    </font>
    <font>
      <sz val="10"/>
      <color indexed="12"/>
      <name val="Symbol"/>
      <family val="1"/>
      <charset val="2"/>
    </font>
    <font>
      <vertAlign val="subscript"/>
      <sz val="10"/>
      <color indexed="10"/>
      <name val="Times New Roman"/>
      <family val="1"/>
    </font>
    <font>
      <vertAlign val="superscript"/>
      <sz val="10"/>
      <color indexed="10"/>
      <name val="Times New Roman"/>
      <family val="1"/>
    </font>
    <font>
      <b/>
      <sz val="10"/>
      <color indexed="10"/>
      <name val="Arial"/>
    </font>
    <font>
      <b/>
      <sz val="10"/>
      <color indexed="10"/>
      <name val="Symbol"/>
      <family val="1"/>
      <charset val="2"/>
    </font>
    <font>
      <b/>
      <sz val="10"/>
      <color indexed="9"/>
      <name val="Symbol"/>
      <family val="1"/>
      <charset val="2"/>
    </font>
    <font>
      <b/>
      <u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3">
    <xf numFmtId="0" fontId="0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5" borderId="0" applyNumberFormat="0" applyBorder="0" applyAlignment="0" applyProtection="0"/>
    <xf numFmtId="0" fontId="36" fillId="8" borderId="0" applyNumberFormat="0" applyBorder="0" applyAlignment="0" applyProtection="0"/>
    <xf numFmtId="0" fontId="36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9" borderId="0" applyNumberFormat="0" applyBorder="0" applyAlignment="0" applyProtection="0"/>
    <xf numFmtId="0" fontId="38" fillId="3" borderId="0" applyNumberFormat="0" applyBorder="0" applyAlignment="0" applyProtection="0"/>
    <xf numFmtId="0" fontId="39" fillId="20" borderId="1" applyNumberFormat="0" applyAlignment="0" applyProtection="0"/>
    <xf numFmtId="0" fontId="40" fillId="21" borderId="2" applyNumberFormat="0" applyAlignment="0" applyProtection="0"/>
    <xf numFmtId="0" fontId="41" fillId="0" borderId="0" applyNumberFormat="0" applyFill="0" applyBorder="0" applyAlignment="0" applyProtection="0"/>
    <xf numFmtId="0" fontId="42" fillId="4" borderId="0" applyNumberFormat="0" applyBorder="0" applyAlignment="0" applyProtection="0"/>
    <xf numFmtId="0" fontId="43" fillId="0" borderId="3" applyNumberFormat="0" applyFill="0" applyAlignment="0" applyProtection="0"/>
    <xf numFmtId="0" fontId="44" fillId="0" borderId="4" applyNumberFormat="0" applyFill="0" applyAlignment="0" applyProtection="0"/>
    <xf numFmtId="0" fontId="45" fillId="0" borderId="5" applyNumberFormat="0" applyFill="0" applyAlignment="0" applyProtection="0"/>
    <xf numFmtId="0" fontId="45" fillId="0" borderId="0" applyNumberFormat="0" applyFill="0" applyBorder="0" applyAlignment="0" applyProtection="0"/>
    <xf numFmtId="0" fontId="46" fillId="7" borderId="1" applyNumberFormat="0" applyAlignment="0" applyProtection="0"/>
    <xf numFmtId="0" fontId="47" fillId="0" borderId="6" applyNumberFormat="0" applyFill="0" applyAlignment="0" applyProtection="0"/>
    <xf numFmtId="0" fontId="48" fillId="22" borderId="0" applyNumberFormat="0" applyBorder="0" applyAlignment="0" applyProtection="0"/>
    <xf numFmtId="0" fontId="2" fillId="0" borderId="0"/>
    <xf numFmtId="0" fontId="1" fillId="23" borderId="7" applyNumberFormat="0" applyFont="0" applyAlignment="0" applyProtection="0"/>
    <xf numFmtId="0" fontId="49" fillId="20" borderId="8" applyNumberFormat="0" applyAlignment="0" applyProtection="0"/>
    <xf numFmtId="0" fontId="50" fillId="0" borderId="0" applyNumberFormat="0" applyFill="0" applyBorder="0" applyAlignment="0" applyProtection="0"/>
    <xf numFmtId="0" fontId="51" fillId="0" borderId="9" applyNumberFormat="0" applyFill="0" applyAlignment="0" applyProtection="0"/>
    <xf numFmtId="0" fontId="52" fillId="0" borderId="0" applyNumberFormat="0" applyFill="0" applyBorder="0" applyAlignment="0" applyProtection="0"/>
  </cellStyleXfs>
  <cellXfs count="218">
    <xf numFmtId="0" fontId="0" fillId="0" borderId="0" xfId="0"/>
    <xf numFmtId="0" fontId="0" fillId="24" borderId="10" xfId="0" applyFill="1" applyBorder="1" applyProtection="1"/>
    <xf numFmtId="0" fontId="4" fillId="24" borderId="11" xfId="0" applyFont="1" applyFill="1" applyBorder="1" applyAlignment="1" applyProtection="1">
      <alignment horizontal="centerContinuous"/>
    </xf>
    <xf numFmtId="0" fontId="4" fillId="24" borderId="12" xfId="0" applyFont="1" applyFill="1" applyBorder="1" applyAlignment="1" applyProtection="1">
      <alignment horizontal="centerContinuous"/>
    </xf>
    <xf numFmtId="0" fontId="0" fillId="0" borderId="0" xfId="0" applyProtection="1"/>
    <xf numFmtId="0" fontId="3" fillId="25" borderId="13" xfId="0" applyFont="1" applyFill="1" applyBorder="1" applyProtection="1"/>
    <xf numFmtId="0" fontId="3" fillId="0" borderId="13" xfId="0" applyFont="1" applyFill="1" applyBorder="1" applyProtection="1"/>
    <xf numFmtId="0" fontId="3" fillId="25" borderId="14" xfId="0" applyFont="1" applyFill="1" applyBorder="1" applyProtection="1"/>
    <xf numFmtId="0" fontId="3" fillId="0" borderId="14" xfId="0" applyFont="1" applyFill="1" applyBorder="1" applyProtection="1"/>
    <xf numFmtId="0" fontId="2" fillId="0" borderId="13" xfId="37" applyBorder="1" applyProtection="1"/>
    <xf numFmtId="0" fontId="2" fillId="25" borderId="13" xfId="37" applyFill="1" applyBorder="1" applyProtection="1"/>
    <xf numFmtId="0" fontId="2" fillId="0" borderId="0" xfId="37" applyProtection="1"/>
    <xf numFmtId="0" fontId="2" fillId="0" borderId="0" xfId="37"/>
    <xf numFmtId="0" fontId="2" fillId="0" borderId="0" xfId="37" applyFill="1"/>
    <xf numFmtId="0" fontId="0" fillId="0" borderId="0" xfId="0" applyBorder="1"/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center"/>
    </xf>
    <xf numFmtId="168" fontId="0" fillId="0" borderId="0" xfId="0" applyNumberFormat="1" applyAlignment="1">
      <alignment horizontal="center"/>
    </xf>
    <xf numFmtId="0" fontId="11" fillId="0" borderId="0" xfId="0" applyFont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3" xfId="0" applyFont="1" applyBorder="1" applyAlignment="1">
      <alignment horizontal="right"/>
    </xf>
    <xf numFmtId="0" fontId="1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1" fillId="0" borderId="15" xfId="0" applyFont="1" applyBorder="1" applyAlignment="1">
      <alignment horizontal="right"/>
    </xf>
    <xf numFmtId="172" fontId="5" fillId="0" borderId="15" xfId="0" applyNumberFormat="1" applyFont="1" applyBorder="1" applyAlignment="1">
      <alignment horizontal="center"/>
    </xf>
    <xf numFmtId="0" fontId="11" fillId="0" borderId="16" xfId="0" applyFont="1" applyBorder="1" applyAlignment="1">
      <alignment horizontal="right"/>
    </xf>
    <xf numFmtId="172" fontId="5" fillId="0" borderId="16" xfId="0" applyNumberFormat="1" applyFont="1" applyBorder="1" applyAlignment="1">
      <alignment horizontal="center"/>
    </xf>
    <xf numFmtId="0" fontId="11" fillId="0" borderId="0" xfId="0" applyFont="1" applyBorder="1" applyAlignment="1">
      <alignment horizontal="right"/>
    </xf>
    <xf numFmtId="1" fontId="16" fillId="0" borderId="13" xfId="0" applyNumberFormat="1" applyFont="1" applyBorder="1"/>
    <xf numFmtId="172" fontId="11" fillId="0" borderId="17" xfId="0" applyNumberFormat="1" applyFont="1" applyBorder="1" applyAlignment="1">
      <alignment horizontal="center"/>
    </xf>
    <xf numFmtId="172" fontId="5" fillId="0" borderId="17" xfId="0" applyNumberFormat="1" applyFont="1" applyBorder="1" applyAlignment="1">
      <alignment horizontal="center"/>
    </xf>
    <xf numFmtId="0" fontId="11" fillId="0" borderId="18" xfId="0" applyFont="1" applyBorder="1" applyAlignment="1">
      <alignment horizontal="right"/>
    </xf>
    <xf numFmtId="0" fontId="5" fillId="0" borderId="19" xfId="0" applyFont="1" applyBorder="1" applyAlignment="1">
      <alignment horizontal="left"/>
    </xf>
    <xf numFmtId="0" fontId="0" fillId="0" borderId="20" xfId="0" applyBorder="1"/>
    <xf numFmtId="172" fontId="5" fillId="0" borderId="20" xfId="0" applyNumberFormat="1" applyFont="1" applyBorder="1" applyAlignment="1">
      <alignment horizontal="center"/>
    </xf>
    <xf numFmtId="0" fontId="11" fillId="0" borderId="21" xfId="0" applyFont="1" applyBorder="1" applyAlignment="1">
      <alignment horizontal="right"/>
    </xf>
    <xf numFmtId="0" fontId="11" fillId="26" borderId="22" xfId="0" applyFont="1" applyFill="1" applyBorder="1" applyAlignment="1">
      <alignment horizontal="center"/>
    </xf>
    <xf numFmtId="0" fontId="11" fillId="26" borderId="23" xfId="0" applyFont="1" applyFill="1" applyBorder="1" applyAlignment="1">
      <alignment horizontal="center"/>
    </xf>
    <xf numFmtId="0" fontId="11" fillId="26" borderId="24" xfId="0" applyFont="1" applyFill="1" applyBorder="1" applyAlignment="1">
      <alignment horizontal="center"/>
    </xf>
    <xf numFmtId="0" fontId="11" fillId="26" borderId="25" xfId="0" applyFont="1" applyFill="1" applyBorder="1" applyAlignment="1">
      <alignment horizontal="center"/>
    </xf>
    <xf numFmtId="0" fontId="11" fillId="26" borderId="26" xfId="0" applyFont="1" applyFill="1" applyBorder="1" applyAlignment="1">
      <alignment horizontal="center"/>
    </xf>
    <xf numFmtId="172" fontId="11" fillId="26" borderId="26" xfId="0" applyNumberFormat="1" applyFont="1" applyFill="1" applyBorder="1" applyAlignment="1">
      <alignment horizontal="center"/>
    </xf>
    <xf numFmtId="0" fontId="11" fillId="26" borderId="27" xfId="0" applyFont="1" applyFill="1" applyBorder="1" applyAlignment="1">
      <alignment horizontal="center"/>
    </xf>
    <xf numFmtId="0" fontId="5" fillId="0" borderId="28" xfId="0" applyFont="1" applyFill="1" applyBorder="1" applyAlignment="1">
      <alignment horizontal="right"/>
    </xf>
    <xf numFmtId="172" fontId="16" fillId="0" borderId="0" xfId="0" applyNumberFormat="1" applyFont="1" applyBorder="1"/>
    <xf numFmtId="0" fontId="0" fillId="0" borderId="29" xfId="0" applyBorder="1"/>
    <xf numFmtId="0" fontId="0" fillId="0" borderId="28" xfId="0" applyBorder="1"/>
    <xf numFmtId="1" fontId="0" fillId="0" borderId="0" xfId="0" applyNumberFormat="1"/>
    <xf numFmtId="0" fontId="0" fillId="0" borderId="19" xfId="0" applyBorder="1"/>
    <xf numFmtId="0" fontId="0" fillId="0" borderId="21" xfId="0" applyBorder="1"/>
    <xf numFmtId="0" fontId="0" fillId="27" borderId="0" xfId="0" applyFill="1" applyAlignment="1">
      <alignment horizontal="center" vertical="center"/>
    </xf>
    <xf numFmtId="0" fontId="19" fillId="28" borderId="0" xfId="0" applyFont="1" applyFill="1"/>
    <xf numFmtId="0" fontId="0" fillId="27" borderId="0" xfId="0" applyFill="1"/>
    <xf numFmtId="0" fontId="0" fillId="27" borderId="0" xfId="0" applyFill="1" applyAlignment="1">
      <alignment horizontal="center"/>
    </xf>
    <xf numFmtId="0" fontId="11" fillId="0" borderId="0" xfId="0" applyNumberFormat="1" applyFont="1" applyAlignment="1">
      <alignment horizontal="center"/>
    </xf>
    <xf numFmtId="0" fontId="0" fillId="27" borderId="0" xfId="0" applyFill="1" applyBorder="1"/>
    <xf numFmtId="0" fontId="11" fillId="27" borderId="0" xfId="0" applyFont="1" applyFill="1"/>
    <xf numFmtId="0" fontId="0" fillId="27" borderId="0" xfId="0" applyFill="1" applyAlignment="1">
      <alignment horizontal="right"/>
    </xf>
    <xf numFmtId="0" fontId="1" fillId="0" borderId="0" xfId="0" applyFont="1" applyFill="1" applyBorder="1" applyAlignment="1">
      <alignment horizontal="left" vertical="center"/>
    </xf>
    <xf numFmtId="2" fontId="9" fillId="0" borderId="0" xfId="0" applyNumberFormat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0" fontId="0" fillId="0" borderId="0" xfId="0" applyAlignment="1">
      <alignment horizontal="left"/>
    </xf>
    <xf numFmtId="2" fontId="7" fillId="0" borderId="0" xfId="0" applyNumberFormat="1" applyFont="1" applyFill="1" applyBorder="1" applyAlignment="1">
      <alignment horizontal="center"/>
    </xf>
    <xf numFmtId="11" fontId="0" fillId="0" borderId="0" xfId="0" applyNumberFormat="1" applyAlignment="1">
      <alignment horizontal="left"/>
    </xf>
    <xf numFmtId="171" fontId="0" fillId="0" borderId="0" xfId="0" applyNumberFormat="1" applyAlignment="1">
      <alignment horizontal="left"/>
    </xf>
    <xf numFmtId="1" fontId="7" fillId="0" borderId="0" xfId="0" applyNumberFormat="1" applyFont="1" applyAlignment="1">
      <alignment horizontal="center"/>
    </xf>
    <xf numFmtId="169" fontId="1" fillId="0" borderId="0" xfId="0" applyNumberFormat="1" applyFont="1" applyAlignment="1">
      <alignment horizontal="left"/>
    </xf>
    <xf numFmtId="170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168" fontId="17" fillId="0" borderId="0" xfId="0" applyNumberFormat="1" applyFont="1" applyAlignment="1">
      <alignment horizontal="left"/>
    </xf>
    <xf numFmtId="170" fontId="0" fillId="0" borderId="0" xfId="0" applyNumberFormat="1" applyAlignment="1">
      <alignment horizontal="center"/>
    </xf>
    <xf numFmtId="0" fontId="17" fillId="0" borderId="0" xfId="0" applyFont="1" applyAlignment="1">
      <alignment horizontal="left"/>
    </xf>
    <xf numFmtId="11" fontId="0" fillId="0" borderId="0" xfId="0" applyNumberFormat="1"/>
    <xf numFmtId="171" fontId="0" fillId="0" borderId="0" xfId="0" applyNumberFormat="1"/>
    <xf numFmtId="0" fontId="17" fillId="0" borderId="0" xfId="0" applyFont="1"/>
    <xf numFmtId="0" fontId="0" fillId="0" borderId="0" xfId="0" applyFill="1"/>
    <xf numFmtId="2" fontId="0" fillId="0" borderId="0" xfId="0" applyNumberFormat="1" applyAlignment="1">
      <alignment horizontal="center"/>
    </xf>
    <xf numFmtId="11" fontId="0" fillId="0" borderId="0" xfId="0" applyNumberFormat="1" applyAlignment="1">
      <alignment horizontal="center"/>
    </xf>
    <xf numFmtId="0" fontId="1" fillId="0" borderId="0" xfId="0" applyFont="1" applyFill="1"/>
    <xf numFmtId="0" fontId="1" fillId="26" borderId="0" xfId="0" applyFont="1" applyFill="1" applyAlignment="1">
      <alignment horizontal="center"/>
    </xf>
    <xf numFmtId="2" fontId="1" fillId="26" borderId="0" xfId="0" applyNumberFormat="1" applyFont="1" applyFill="1" applyAlignment="1">
      <alignment horizontal="center"/>
    </xf>
    <xf numFmtId="168" fontId="1" fillId="26" borderId="0" xfId="0" applyNumberFormat="1" applyFont="1" applyFill="1" applyAlignment="1">
      <alignment horizontal="center"/>
    </xf>
    <xf numFmtId="170" fontId="0" fillId="26" borderId="0" xfId="0" applyNumberFormat="1" applyFill="1" applyAlignment="1">
      <alignment horizontal="center"/>
    </xf>
    <xf numFmtId="168" fontId="0" fillId="26" borderId="0" xfId="0" applyNumberFormat="1" applyFill="1" applyAlignment="1">
      <alignment horizontal="center"/>
    </xf>
    <xf numFmtId="2" fontId="0" fillId="26" borderId="0" xfId="0" applyNumberFormat="1" applyFill="1" applyAlignment="1">
      <alignment horizontal="center"/>
    </xf>
    <xf numFmtId="170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11" fontId="0" fillId="0" borderId="0" xfId="0" applyNumberFormat="1" applyFill="1" applyAlignment="1">
      <alignment horizontal="center"/>
    </xf>
    <xf numFmtId="0" fontId="1" fillId="26" borderId="0" xfId="0" applyFont="1" applyFill="1"/>
    <xf numFmtId="0" fontId="19" fillId="28" borderId="0" xfId="0" applyFont="1" applyFill="1" applyAlignment="1">
      <alignment horizontal="center" vertical="center" wrapText="1"/>
    </xf>
    <xf numFmtId="2" fontId="0" fillId="27" borderId="0" xfId="0" applyNumberFormat="1" applyFill="1" applyAlignment="1">
      <alignment horizontal="center" vertical="center"/>
    </xf>
    <xf numFmtId="2" fontId="11" fillId="27" borderId="0" xfId="0" applyNumberFormat="1" applyFont="1" applyFill="1" applyAlignment="1">
      <alignment horizontal="center" vertical="center"/>
    </xf>
    <xf numFmtId="0" fontId="0" fillId="27" borderId="0" xfId="0" applyFill="1" applyAlignment="1">
      <alignment horizontal="left" indent="1"/>
    </xf>
    <xf numFmtId="0" fontId="9" fillId="27" borderId="0" xfId="0" applyFont="1" applyFill="1" applyAlignment="1">
      <alignment horizontal="center" vertical="center"/>
    </xf>
    <xf numFmtId="2" fontId="0" fillId="27" borderId="0" xfId="0" applyNumberFormat="1" applyFill="1"/>
    <xf numFmtId="2" fontId="11" fillId="27" borderId="0" xfId="0" applyNumberFormat="1" applyFont="1" applyFill="1" applyAlignment="1">
      <alignment horizontal="right" vertical="center"/>
    </xf>
    <xf numFmtId="2" fontId="9" fillId="27" borderId="0" xfId="0" applyNumberFormat="1" applyFont="1" applyFill="1" applyAlignment="1">
      <alignment horizontal="right" vertical="center"/>
    </xf>
    <xf numFmtId="0" fontId="9" fillId="27" borderId="0" xfId="0" applyFont="1" applyFill="1" applyBorder="1" applyAlignment="1">
      <alignment horizontal="center" vertical="center"/>
    </xf>
    <xf numFmtId="2" fontId="0" fillId="27" borderId="0" xfId="0" applyNumberFormat="1" applyFill="1" applyBorder="1" applyAlignment="1">
      <alignment horizontal="center" vertical="center"/>
    </xf>
    <xf numFmtId="0" fontId="9" fillId="27" borderId="0" xfId="0" applyFont="1" applyFill="1" applyBorder="1" applyAlignment="1">
      <alignment horizontal="center"/>
    </xf>
    <xf numFmtId="0" fontId="19" fillId="28" borderId="30" xfId="0" applyFont="1" applyFill="1" applyBorder="1" applyAlignment="1">
      <alignment horizontal="center" vertical="center" wrapText="1"/>
    </xf>
    <xf numFmtId="0" fontId="19" fillId="28" borderId="16" xfId="0" applyFont="1" applyFill="1" applyBorder="1" applyAlignment="1">
      <alignment horizontal="center" vertical="center" wrapText="1"/>
    </xf>
    <xf numFmtId="0" fontId="19" fillId="28" borderId="31" xfId="0" applyFont="1" applyFill="1" applyBorder="1" applyAlignment="1">
      <alignment horizontal="center" vertical="center" wrapText="1"/>
    </xf>
    <xf numFmtId="0" fontId="9" fillId="27" borderId="28" xfId="0" applyFont="1" applyFill="1" applyBorder="1" applyAlignment="1">
      <alignment horizontal="center"/>
    </xf>
    <xf numFmtId="0" fontId="0" fillId="29" borderId="29" xfId="0" applyFill="1" applyBorder="1"/>
    <xf numFmtId="0" fontId="0" fillId="29" borderId="19" xfId="0" applyFill="1" applyBorder="1"/>
    <xf numFmtId="0" fontId="0" fillId="29" borderId="20" xfId="0" applyFill="1" applyBorder="1"/>
    <xf numFmtId="0" fontId="9" fillId="27" borderId="20" xfId="0" applyFont="1" applyFill="1" applyBorder="1" applyAlignment="1">
      <alignment horizontal="center" vertical="center"/>
    </xf>
    <xf numFmtId="0" fontId="0" fillId="27" borderId="20" xfId="0" applyFill="1" applyBorder="1"/>
    <xf numFmtId="2" fontId="0" fillId="27" borderId="20" xfId="0" applyNumberFormat="1" applyFill="1" applyBorder="1" applyAlignment="1">
      <alignment horizontal="center" vertical="center"/>
    </xf>
    <xf numFmtId="4" fontId="7" fillId="30" borderId="21" xfId="0" applyNumberFormat="1" applyFont="1" applyFill="1" applyBorder="1"/>
    <xf numFmtId="0" fontId="11" fillId="27" borderId="20" xfId="0" applyFont="1" applyFill="1" applyBorder="1"/>
    <xf numFmtId="0" fontId="19" fillId="27" borderId="0" xfId="0" applyFont="1" applyFill="1"/>
    <xf numFmtId="0" fontId="11" fillId="27" borderId="0" xfId="0" applyFont="1" applyFill="1" applyBorder="1"/>
    <xf numFmtId="0" fontId="19" fillId="27" borderId="20" xfId="0" applyFont="1" applyFill="1" applyBorder="1"/>
    <xf numFmtId="2" fontId="0" fillId="27" borderId="20" xfId="0" applyNumberFormat="1" applyFill="1" applyBorder="1" applyAlignment="1">
      <alignment horizontal="center"/>
    </xf>
    <xf numFmtId="4" fontId="0" fillId="27" borderId="0" xfId="0" applyNumberFormat="1" applyFill="1" applyAlignment="1">
      <alignment horizontal="center" vertical="center"/>
    </xf>
    <xf numFmtId="0" fontId="23" fillId="27" borderId="0" xfId="0" applyFont="1" applyFill="1" applyAlignment="1">
      <alignment horizontal="center" vertical="center"/>
    </xf>
    <xf numFmtId="2" fontId="23" fillId="27" borderId="0" xfId="0" applyNumberFormat="1" applyFont="1" applyFill="1" applyAlignment="1">
      <alignment horizontal="center" vertical="center"/>
    </xf>
    <xf numFmtId="2" fontId="8" fillId="27" borderId="0" xfId="0" applyNumberFormat="1" applyFont="1" applyFill="1" applyAlignment="1">
      <alignment horizontal="center" vertical="center"/>
    </xf>
    <xf numFmtId="2" fontId="7" fillId="27" borderId="0" xfId="0" applyNumberFormat="1" applyFont="1" applyFill="1" applyAlignment="1">
      <alignment horizontal="center" vertical="center"/>
    </xf>
    <xf numFmtId="2" fontId="12" fillId="27" borderId="0" xfId="0" applyNumberFormat="1" applyFont="1" applyFill="1" applyAlignment="1">
      <alignment horizontal="center" vertical="center"/>
    </xf>
    <xf numFmtId="4" fontId="24" fillId="27" borderId="0" xfId="0" applyNumberFormat="1" applyFont="1" applyFill="1" applyAlignment="1">
      <alignment horizontal="center" vertical="center"/>
    </xf>
    <xf numFmtId="4" fontId="24" fillId="27" borderId="0" xfId="0" applyNumberFormat="1" applyFont="1" applyFill="1" applyAlignment="1">
      <alignment horizontal="center"/>
    </xf>
    <xf numFmtId="0" fontId="8" fillId="27" borderId="0" xfId="0" applyFont="1" applyFill="1" applyAlignment="1">
      <alignment horizontal="center" vertical="center"/>
    </xf>
    <xf numFmtId="0" fontId="9" fillId="27" borderId="0" xfId="0" applyFont="1" applyFill="1" applyAlignment="1">
      <alignment horizontal="center"/>
    </xf>
    <xf numFmtId="168" fontId="0" fillId="27" borderId="0" xfId="0" applyNumberFormat="1" applyFill="1" applyAlignment="1">
      <alignment horizontal="center"/>
    </xf>
    <xf numFmtId="0" fontId="0" fillId="27" borderId="26" xfId="0" applyFill="1" applyBorder="1"/>
    <xf numFmtId="0" fontId="11" fillId="27" borderId="26" xfId="0" applyFont="1" applyFill="1" applyBorder="1"/>
    <xf numFmtId="0" fontId="11" fillId="27" borderId="0" xfId="0" applyFont="1" applyFill="1" applyAlignment="1">
      <alignment horizontal="center"/>
    </xf>
    <xf numFmtId="0" fontId="7" fillId="27" borderId="0" xfId="0" applyFont="1" applyFill="1"/>
    <xf numFmtId="0" fontId="0" fillId="27" borderId="32" xfId="0" applyFill="1" applyBorder="1"/>
    <xf numFmtId="0" fontId="0" fillId="27" borderId="23" xfId="0" applyFill="1" applyBorder="1"/>
    <xf numFmtId="0" fontId="0" fillId="27" borderId="0" xfId="0" applyFill="1" applyBorder="1" applyAlignment="1">
      <alignment horizontal="center"/>
    </xf>
    <xf numFmtId="0" fontId="0" fillId="27" borderId="0" xfId="0" quotePrefix="1" applyFill="1"/>
    <xf numFmtId="0" fontId="0" fillId="30" borderId="28" xfId="0" applyFill="1" applyBorder="1"/>
    <xf numFmtId="0" fontId="0" fillId="30" borderId="0" xfId="0" applyFill="1" applyBorder="1"/>
    <xf numFmtId="172" fontId="16" fillId="30" borderId="0" xfId="0" applyNumberFormat="1" applyFont="1" applyFill="1" applyBorder="1"/>
    <xf numFmtId="0" fontId="0" fillId="30" borderId="29" xfId="0" applyFill="1" applyBorder="1"/>
    <xf numFmtId="4" fontId="11" fillId="27" borderId="0" xfId="0" applyNumberFormat="1" applyFont="1" applyFill="1" applyAlignment="1">
      <alignment horizontal="center"/>
    </xf>
    <xf numFmtId="0" fontId="21" fillId="27" borderId="0" xfId="0" applyFont="1" applyFill="1"/>
    <xf numFmtId="0" fontId="28" fillId="27" borderId="0" xfId="0" applyFont="1" applyFill="1"/>
    <xf numFmtId="0" fontId="27" fillId="27" borderId="0" xfId="0" applyFont="1" applyFill="1"/>
    <xf numFmtId="0" fontId="29" fillId="27" borderId="0" xfId="0" applyFont="1" applyFill="1"/>
    <xf numFmtId="4" fontId="9" fillId="27" borderId="0" xfId="0" applyNumberFormat="1" applyFont="1" applyFill="1" applyAlignment="1">
      <alignment horizontal="center"/>
    </xf>
    <xf numFmtId="4" fontId="0" fillId="27" borderId="0" xfId="0" applyNumberFormat="1" applyFill="1" applyAlignment="1">
      <alignment horizontal="center"/>
    </xf>
    <xf numFmtId="4" fontId="7" fillId="27" borderId="0" xfId="0" applyNumberFormat="1" applyFont="1" applyFill="1" applyAlignment="1">
      <alignment horizontal="center"/>
    </xf>
    <xf numFmtId="2" fontId="0" fillId="27" borderId="0" xfId="0" applyNumberFormat="1" applyFill="1" applyAlignment="1">
      <alignment horizontal="center"/>
    </xf>
    <xf numFmtId="0" fontId="5" fillId="27" borderId="0" xfId="0" applyFont="1" applyFill="1"/>
    <xf numFmtId="0" fontId="0" fillId="27" borderId="22" xfId="0" applyFill="1" applyBorder="1"/>
    <xf numFmtId="0" fontId="0" fillId="27" borderId="24" xfId="0" applyFill="1" applyBorder="1"/>
    <xf numFmtId="0" fontId="0" fillId="27" borderId="33" xfId="0" applyFill="1" applyBorder="1"/>
    <xf numFmtId="2" fontId="0" fillId="27" borderId="0" xfId="0" applyNumberFormat="1" applyFill="1" applyBorder="1" applyAlignment="1">
      <alignment horizontal="left" vertical="center"/>
    </xf>
    <xf numFmtId="0" fontId="0" fillId="27" borderId="25" xfId="0" applyFill="1" applyBorder="1"/>
    <xf numFmtId="0" fontId="0" fillId="27" borderId="27" xfId="0" applyFill="1" applyBorder="1"/>
    <xf numFmtId="2" fontId="7" fillId="27" borderId="0" xfId="0" applyNumberFormat="1" applyFont="1" applyFill="1" applyAlignment="1">
      <alignment horizontal="center"/>
    </xf>
    <xf numFmtId="0" fontId="34" fillId="28" borderId="0" xfId="0" applyFont="1" applyFill="1" applyAlignment="1">
      <alignment horizontal="center" vertical="center" wrapText="1"/>
    </xf>
    <xf numFmtId="0" fontId="35" fillId="27" borderId="0" xfId="0" applyFont="1" applyFill="1"/>
    <xf numFmtId="0" fontId="33" fillId="27" borderId="0" xfId="0" applyFont="1" applyFill="1"/>
    <xf numFmtId="0" fontId="12" fillId="0" borderId="13" xfId="0" applyNumberFormat="1" applyFont="1" applyBorder="1" applyAlignment="1">
      <alignment horizontal="center"/>
    </xf>
    <xf numFmtId="10" fontId="9" fillId="27" borderId="0" xfId="0" applyNumberFormat="1" applyFont="1" applyFill="1" applyAlignment="1">
      <alignment horizontal="center"/>
    </xf>
    <xf numFmtId="173" fontId="0" fillId="27" borderId="0" xfId="0" applyNumberFormat="1" applyFill="1" applyAlignment="1">
      <alignment horizontal="center"/>
    </xf>
    <xf numFmtId="10" fontId="7" fillId="27" borderId="0" xfId="0" applyNumberFormat="1" applyFont="1" applyFill="1" applyAlignment="1">
      <alignment horizontal="center"/>
    </xf>
    <xf numFmtId="4" fontId="25" fillId="27" borderId="0" xfId="0" applyNumberFormat="1" applyFont="1" applyFill="1" applyAlignment="1">
      <alignment horizontal="center"/>
    </xf>
    <xf numFmtId="174" fontId="0" fillId="27" borderId="0" xfId="0" applyNumberFormat="1" applyFill="1" applyAlignment="1">
      <alignment horizontal="center"/>
    </xf>
    <xf numFmtId="175" fontId="0" fillId="27" borderId="0" xfId="0" applyNumberFormat="1" applyFill="1" applyAlignment="1">
      <alignment horizontal="center"/>
    </xf>
    <xf numFmtId="0" fontId="21" fillId="27" borderId="0" xfId="0" applyFont="1" applyFill="1" applyBorder="1"/>
    <xf numFmtId="0" fontId="0" fillId="27" borderId="0" xfId="0" applyFill="1" applyBorder="1" applyAlignment="1">
      <alignment horizontal="right"/>
    </xf>
    <xf numFmtId="9" fontId="0" fillId="27" borderId="0" xfId="0" applyNumberFormat="1" applyFill="1" applyBorder="1"/>
    <xf numFmtId="10" fontId="0" fillId="27" borderId="0" xfId="0" applyNumberFormat="1" applyFill="1" applyBorder="1" applyAlignment="1">
      <alignment horizontal="center"/>
    </xf>
    <xf numFmtId="10" fontId="25" fillId="27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4" fontId="0" fillId="27" borderId="0" xfId="0" applyNumberFormat="1" applyFill="1" applyAlignment="1">
      <alignment horizontal="right"/>
    </xf>
    <xf numFmtId="4" fontId="9" fillId="27" borderId="0" xfId="0" applyNumberFormat="1" applyFont="1" applyFill="1" applyAlignment="1">
      <alignment horizontal="right"/>
    </xf>
    <xf numFmtId="4" fontId="9" fillId="31" borderId="0" xfId="0" applyNumberFormat="1" applyFont="1" applyFill="1" applyAlignment="1">
      <alignment horizontal="right"/>
    </xf>
    <xf numFmtId="10" fontId="9" fillId="27" borderId="0" xfId="0" applyNumberFormat="1" applyFont="1" applyFill="1" applyAlignment="1">
      <alignment horizontal="right"/>
    </xf>
    <xf numFmtId="10" fontId="7" fillId="27" borderId="0" xfId="0" applyNumberFormat="1" applyFont="1" applyFill="1" applyAlignment="1">
      <alignment horizontal="right"/>
    </xf>
    <xf numFmtId="4" fontId="25" fillId="27" borderId="0" xfId="0" applyNumberFormat="1" applyFont="1" applyFill="1" applyAlignment="1">
      <alignment horizontal="right"/>
    </xf>
    <xf numFmtId="4" fontId="7" fillId="27" borderId="0" xfId="0" applyNumberFormat="1" applyFont="1" applyFill="1" applyAlignment="1">
      <alignment horizontal="right"/>
    </xf>
    <xf numFmtId="2" fontId="7" fillId="27" borderId="0" xfId="0" applyNumberFormat="1" applyFont="1" applyFill="1" applyAlignment="1">
      <alignment horizontal="right"/>
    </xf>
    <xf numFmtId="179" fontId="0" fillId="27" borderId="0" xfId="0" applyNumberFormat="1" applyFill="1" applyAlignment="1">
      <alignment horizontal="right"/>
    </xf>
    <xf numFmtId="1" fontId="0" fillId="27" borderId="0" xfId="0" applyNumberFormat="1" applyFill="1" applyAlignment="1">
      <alignment horizontal="right"/>
    </xf>
    <xf numFmtId="180" fontId="0" fillId="27" borderId="0" xfId="0" applyNumberFormat="1" applyFill="1" applyAlignment="1">
      <alignment horizontal="right"/>
    </xf>
    <xf numFmtId="183" fontId="0" fillId="27" borderId="0" xfId="0" applyNumberFormat="1" applyFill="1" applyAlignment="1">
      <alignment horizontal="right"/>
    </xf>
    <xf numFmtId="173" fontId="0" fillId="27" borderId="0" xfId="0" applyNumberFormat="1" applyFill="1" applyAlignment="1">
      <alignment horizontal="right"/>
    </xf>
    <xf numFmtId="2" fontId="0" fillId="27" borderId="0" xfId="0" applyNumberFormat="1" applyFill="1" applyAlignment="1">
      <alignment horizontal="right"/>
    </xf>
    <xf numFmtId="2" fontId="0" fillId="27" borderId="0" xfId="0" applyNumberFormat="1" applyFill="1" applyAlignment="1">
      <alignment horizontal="right" vertical="center"/>
    </xf>
    <xf numFmtId="174" fontId="0" fillId="27" borderId="0" xfId="0" applyNumberFormat="1" applyFill="1" applyAlignment="1">
      <alignment horizontal="right"/>
    </xf>
    <xf numFmtId="175" fontId="0" fillId="27" borderId="0" xfId="0" applyNumberFormat="1" applyFill="1" applyAlignment="1">
      <alignment horizontal="right"/>
    </xf>
    <xf numFmtId="0" fontId="11" fillId="27" borderId="0" xfId="0" applyFont="1" applyFill="1" applyAlignment="1">
      <alignment horizontal="right"/>
    </xf>
    <xf numFmtId="0" fontId="0" fillId="27" borderId="13" xfId="0" applyFill="1" applyBorder="1" applyAlignment="1">
      <alignment horizontal="left"/>
    </xf>
    <xf numFmtId="4" fontId="0" fillId="27" borderId="13" xfId="0" applyNumberFormat="1" applyFill="1" applyBorder="1" applyAlignment="1">
      <alignment horizontal="right"/>
    </xf>
    <xf numFmtId="168" fontId="0" fillId="27" borderId="0" xfId="0" applyNumberFormat="1" applyFill="1" applyAlignment="1">
      <alignment horizontal="right"/>
    </xf>
    <xf numFmtId="10" fontId="25" fillId="27" borderId="0" xfId="0" applyNumberFormat="1" applyFont="1" applyFill="1" applyAlignment="1">
      <alignment horizontal="right"/>
    </xf>
    <xf numFmtId="0" fontId="0" fillId="27" borderId="26" xfId="0" applyFill="1" applyBorder="1" applyAlignment="1">
      <alignment horizontal="right"/>
    </xf>
    <xf numFmtId="4" fontId="11" fillId="27" borderId="0" xfId="0" applyNumberFormat="1" applyFont="1" applyFill="1" applyAlignment="1">
      <alignment horizontal="right"/>
    </xf>
    <xf numFmtId="0" fontId="0" fillId="30" borderId="0" xfId="0" applyFill="1"/>
    <xf numFmtId="183" fontId="0" fillId="30" borderId="0" xfId="0" applyNumberFormat="1" applyFill="1" applyAlignment="1">
      <alignment horizontal="right"/>
    </xf>
    <xf numFmtId="0" fontId="11" fillId="27" borderId="13" xfId="0" applyFont="1" applyFill="1" applyBorder="1" applyAlignment="1">
      <alignment horizontal="center"/>
    </xf>
    <xf numFmtId="0" fontId="0" fillId="27" borderId="13" xfId="0" applyFill="1" applyBorder="1"/>
    <xf numFmtId="0" fontId="0" fillId="27" borderId="13" xfId="0" applyFill="1" applyBorder="1" applyAlignment="1">
      <alignment horizontal="right"/>
    </xf>
    <xf numFmtId="185" fontId="0" fillId="27" borderId="0" xfId="0" applyNumberFormat="1" applyFill="1" applyAlignment="1">
      <alignment horizontal="right"/>
    </xf>
    <xf numFmtId="9" fontId="53" fillId="27" borderId="0" xfId="0" applyNumberFormat="1" applyFont="1" applyFill="1" applyBorder="1" applyAlignment="1">
      <alignment horizontal="center"/>
    </xf>
    <xf numFmtId="10" fontId="53" fillId="27" borderId="0" xfId="0" applyNumberFormat="1" applyFont="1" applyFill="1" applyBorder="1" applyAlignment="1">
      <alignment horizontal="center"/>
    </xf>
    <xf numFmtId="10" fontId="53" fillId="27" borderId="0" xfId="0" applyNumberFormat="1" applyFont="1" applyFill="1" applyAlignment="1">
      <alignment horizontal="center"/>
    </xf>
    <xf numFmtId="0" fontId="53" fillId="27" borderId="0" xfId="0" applyFont="1" applyFill="1" applyBorder="1" applyAlignment="1">
      <alignment horizontal="center"/>
    </xf>
    <xf numFmtId="0" fontId="53" fillId="27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Feuil1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1"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scatterChart>
        <c:scatterStyle val="smoothMarker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Turbines_JT60SA!$B$129:$B$159</c:f>
              <c:numCache>
                <c:formatCode>General</c:formatCode>
                <c:ptCount val="3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  <c:pt idx="21">
                  <c:v>1.0500000000000003</c:v>
                </c:pt>
                <c:pt idx="22">
                  <c:v>1.1000000000000003</c:v>
                </c:pt>
                <c:pt idx="23">
                  <c:v>1.1500000000000004</c:v>
                </c:pt>
                <c:pt idx="24">
                  <c:v>1.2000000000000004</c:v>
                </c:pt>
                <c:pt idx="25">
                  <c:v>1.2500000000000004</c:v>
                </c:pt>
                <c:pt idx="26">
                  <c:v>1.3000000000000005</c:v>
                </c:pt>
                <c:pt idx="27">
                  <c:v>1.3500000000000005</c:v>
                </c:pt>
                <c:pt idx="28">
                  <c:v>1.4000000000000006</c:v>
                </c:pt>
                <c:pt idx="29">
                  <c:v>1.4500000000000006</c:v>
                </c:pt>
                <c:pt idx="30">
                  <c:v>1.5000000000000007</c:v>
                </c:pt>
              </c:numCache>
            </c:numRef>
          </c:xVal>
          <c:yVal>
            <c:numRef>
              <c:f>Turbines_JT60SA!$C$129:$C$159</c:f>
              <c:numCache>
                <c:formatCode>0.00%</c:formatCode>
                <c:ptCount val="31"/>
                <c:pt idx="0" formatCode="General">
                  <c:v>0</c:v>
                </c:pt>
                <c:pt idx="1">
                  <c:v>4.0382461852042459E-2</c:v>
                </c:pt>
                <c:pt idx="2">
                  <c:v>8.5098158171146673E-2</c:v>
                </c:pt>
                <c:pt idx="3">
                  <c:v>0.13323633134792623</c:v>
                </c:pt>
                <c:pt idx="4">
                  <c:v>0.18392485650409657</c:v>
                </c:pt>
                <c:pt idx="5">
                  <c:v>0.23633024149247489</c:v>
                </c:pt>
                <c:pt idx="6">
                  <c:v>0.28965762689698032</c:v>
                </c:pt>
                <c:pt idx="7">
                  <c:v>0.34315078603263366</c:v>
                </c:pt>
                <c:pt idx="8">
                  <c:v>0.39609212494555779</c:v>
                </c:pt>
                <c:pt idx="9">
                  <c:v>0.4478026824129771</c:v>
                </c:pt>
                <c:pt idx="10">
                  <c:v>0.49764212994321799</c:v>
                </c:pt>
                <c:pt idx="11">
                  <c:v>0.54500877177570861</c:v>
                </c:pt>
                <c:pt idx="12">
                  <c:v>0.58933954488097895</c:v>
                </c:pt>
                <c:pt idx="13">
                  <c:v>0.63011001896066099</c:v>
                </c:pt>
                <c:pt idx="14">
                  <c:v>0.66683439644748832</c:v>
                </c:pt>
                <c:pt idx="15">
                  <c:v>0.69906551250529614</c:v>
                </c:pt>
                <c:pt idx="16">
                  <c:v>0.7263948350290218</c:v>
                </c:pt>
                <c:pt idx="17">
                  <c:v>0.74845246464470438</c:v>
                </c:pt>
                <c:pt idx="18">
                  <c:v>0.76490713470948513</c:v>
                </c:pt>
                <c:pt idx="19">
                  <c:v>0.77546621131160665</c:v>
                </c:pt>
                <c:pt idx="20">
                  <c:v>0.77987569327041351</c:v>
                </c:pt>
                <c:pt idx="21">
                  <c:v>0.77792021213635165</c:v>
                </c:pt>
                <c:pt idx="22">
                  <c:v>0.76942303219096997</c:v>
                </c:pt>
                <c:pt idx="23">
                  <c:v>0.75424605044691839</c:v>
                </c:pt>
                <c:pt idx="24">
                  <c:v>0.7322897966479478</c:v>
                </c:pt>
                <c:pt idx="25">
                  <c:v>0.70349343326891334</c:v>
                </c:pt>
                <c:pt idx="26">
                  <c:v>0.66783475551576954</c:v>
                </c:pt>
                <c:pt idx="27">
                  <c:v>0.62533019132557388</c:v>
                </c:pt>
                <c:pt idx="28">
                  <c:v>0.57603480136648577</c:v>
                </c:pt>
                <c:pt idx="29">
                  <c:v>0.5200422790377659</c:v>
                </c:pt>
                <c:pt idx="30">
                  <c:v>0.45748495046977738</c:v>
                </c:pt>
              </c:numCache>
            </c:numRef>
          </c:yVal>
          <c:smooth val="1"/>
        </c:ser>
        <c:ser>
          <c:idx val="1"/>
          <c:order val="1"/>
          <c:spPr>
            <a:ln w="28575">
              <a:noFill/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Turbines_JT60SA!$F$41</c:f>
              <c:numCache>
                <c:formatCode>0.00%</c:formatCode>
                <c:ptCount val="1"/>
                <c:pt idx="0">
                  <c:v>0</c:v>
                </c:pt>
              </c:numCache>
            </c:numRef>
          </c:xVal>
          <c:yVal>
            <c:numRef>
              <c:f>Turbines_JT60SA!$F$42</c:f>
              <c:numCache>
                <c:formatCode>0.00%</c:formatCode>
                <c:ptCount val="1"/>
                <c:pt idx="0">
                  <c:v>0</c:v>
                </c:pt>
              </c:numCache>
            </c:numRef>
          </c:yVal>
          <c:smooth val="1"/>
        </c:ser>
        <c:axId val="320579840"/>
        <c:axId val="320590592"/>
      </c:scatterChart>
      <c:valAx>
        <c:axId val="320579840"/>
        <c:scaling>
          <c:orientation val="minMax"/>
          <c:max val="1.5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U1/C0 / U1/C0 nom</a:t>
                </a:r>
              </a:p>
            </c:rich>
          </c:tx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20590592"/>
        <c:crosses val="autoZero"/>
        <c:crossBetween val="midCat"/>
      </c:valAx>
      <c:valAx>
        <c:axId val="32059059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Rendement</a:t>
                </a:r>
              </a:p>
            </c:rich>
          </c:tx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2057984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14285728521333427"/>
          <c:y val="7.8125E-2"/>
          <c:w val="0.73061297294819527"/>
          <c:h val="0.72812500000000002"/>
        </c:manualLayout>
      </c:layout>
      <c:scatterChart>
        <c:scatterStyle val="smoothMarker"/>
        <c:ser>
          <c:idx val="0"/>
          <c:order val="0"/>
          <c:tx>
            <c:strRef>
              <c:f>'Turbine  Libre'!$L$24</c:f>
              <c:strCache>
                <c:ptCount val="1"/>
                <c:pt idx="0">
                  <c:v>Vitesse 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'Turbine  Libre'!$C$25:$C$47</c:f>
              <c:numCache>
                <c:formatCode>General</c:formatCode>
                <c:ptCount val="23"/>
                <c:pt idx="0">
                  <c:v>30</c:v>
                </c:pt>
                <c:pt idx="1">
                  <c:v>29</c:v>
                </c:pt>
                <c:pt idx="2">
                  <c:v>28</c:v>
                </c:pt>
                <c:pt idx="3">
                  <c:v>27</c:v>
                </c:pt>
                <c:pt idx="4">
                  <c:v>26</c:v>
                </c:pt>
                <c:pt idx="5">
                  <c:v>25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21</c:v>
                </c:pt>
                <c:pt idx="10">
                  <c:v>20</c:v>
                </c:pt>
                <c:pt idx="11">
                  <c:v>19</c:v>
                </c:pt>
                <c:pt idx="12">
                  <c:v>18.399999999999999</c:v>
                </c:pt>
                <c:pt idx="13">
                  <c:v>18</c:v>
                </c:pt>
                <c:pt idx="14">
                  <c:v>17.5</c:v>
                </c:pt>
                <c:pt idx="15">
                  <c:v>17</c:v>
                </c:pt>
                <c:pt idx="16">
                  <c:v>16.5</c:v>
                </c:pt>
                <c:pt idx="17">
                  <c:v>16</c:v>
                </c:pt>
                <c:pt idx="18">
                  <c:v>15.5</c:v>
                </c:pt>
                <c:pt idx="19">
                  <c:v>15</c:v>
                </c:pt>
                <c:pt idx="20">
                  <c:v>14.5</c:v>
                </c:pt>
                <c:pt idx="21">
                  <c:v>14</c:v>
                </c:pt>
                <c:pt idx="22">
                  <c:v>13.5</c:v>
                </c:pt>
              </c:numCache>
            </c:numRef>
          </c:xVal>
          <c:yVal>
            <c:numRef>
              <c:f>'Turbine  Libre'!$L$25:$L$47</c:f>
              <c:numCache>
                <c:formatCode>0.0</c:formatCode>
                <c:ptCount val="23"/>
                <c:pt idx="0">
                  <c:v>3106.4130620455703</c:v>
                </c:pt>
                <c:pt idx="1">
                  <c:v>3082.0450633252208</c:v>
                </c:pt>
                <c:pt idx="2">
                  <c:v>3058.8674403727337</c:v>
                </c:pt>
                <c:pt idx="3">
                  <c:v>3036.3619790646385</c:v>
                </c:pt>
                <c:pt idx="4">
                  <c:v>3014.0218500281389</c:v>
                </c:pt>
                <c:pt idx="5">
                  <c:v>2991.3513748306418</c:v>
                </c:pt>
                <c:pt idx="6">
                  <c:v>2967.8676655996437</c:v>
                </c:pt>
                <c:pt idx="7">
                  <c:v>2943.1038115702413</c:v>
                </c:pt>
                <c:pt idx="8">
                  <c:v>2916.6128500310938</c:v>
                </c:pt>
                <c:pt idx="9">
                  <c:v>2887.9708384505439</c:v>
                </c:pt>
                <c:pt idx="10">
                  <c:v>2856.7755164862015</c:v>
                </c:pt>
                <c:pt idx="11">
                  <c:v>2822.6334486285</c:v>
                </c:pt>
                <c:pt idx="12">
                  <c:v>2800.5347346169278</c:v>
                </c:pt>
                <c:pt idx="13">
                  <c:v>2784.7564291364033</c:v>
                </c:pt>
                <c:pt idx="14">
                  <c:v>2764.1761668605905</c:v>
                </c:pt>
                <c:pt idx="15">
                  <c:v>2742.5990264392713</c:v>
                </c:pt>
                <c:pt idx="16">
                  <c:v>2719.9703463756305</c:v>
                </c:pt>
                <c:pt idx="17">
                  <c:v>2696.2222233622688</c:v>
                </c:pt>
                <c:pt idx="18">
                  <c:v>2671.2651486917889</c:v>
                </c:pt>
                <c:pt idx="19">
                  <c:v>2644.9760802522724</c:v>
                </c:pt>
                <c:pt idx="20">
                  <c:v>2617.181725601271</c:v>
                </c:pt>
                <c:pt idx="21">
                  <c:v>2587.6355155306005</c:v>
                </c:pt>
                <c:pt idx="22">
                  <c:v>2555.9865085873257</c:v>
                </c:pt>
              </c:numCache>
            </c:numRef>
          </c:yVal>
          <c:smooth val="1"/>
        </c:ser>
        <c:axId val="226461568"/>
        <c:axId val="226467840"/>
      </c:scatterChart>
      <c:scatterChart>
        <c:scatterStyle val="lineMarker"/>
        <c:ser>
          <c:idx val="1"/>
          <c:order val="1"/>
          <c:tx>
            <c:strRef>
              <c:f>'Turbine  Libre'!$M$24</c:f>
              <c:strCache>
                <c:ptCount val="1"/>
                <c:pt idx="0">
                  <c:v>T outlet 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'Turbine  Libre'!$C$25:$C$47</c:f>
              <c:numCache>
                <c:formatCode>General</c:formatCode>
                <c:ptCount val="23"/>
                <c:pt idx="0">
                  <c:v>30</c:v>
                </c:pt>
                <c:pt idx="1">
                  <c:v>29</c:v>
                </c:pt>
                <c:pt idx="2">
                  <c:v>28</c:v>
                </c:pt>
                <c:pt idx="3">
                  <c:v>27</c:v>
                </c:pt>
                <c:pt idx="4">
                  <c:v>26</c:v>
                </c:pt>
                <c:pt idx="5">
                  <c:v>25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21</c:v>
                </c:pt>
                <c:pt idx="10">
                  <c:v>20</c:v>
                </c:pt>
                <c:pt idx="11">
                  <c:v>19</c:v>
                </c:pt>
                <c:pt idx="12">
                  <c:v>18.399999999999999</c:v>
                </c:pt>
                <c:pt idx="13">
                  <c:v>18</c:v>
                </c:pt>
                <c:pt idx="14">
                  <c:v>17.5</c:v>
                </c:pt>
                <c:pt idx="15">
                  <c:v>17</c:v>
                </c:pt>
                <c:pt idx="16">
                  <c:v>16.5</c:v>
                </c:pt>
                <c:pt idx="17">
                  <c:v>16</c:v>
                </c:pt>
                <c:pt idx="18">
                  <c:v>15.5</c:v>
                </c:pt>
                <c:pt idx="19">
                  <c:v>15</c:v>
                </c:pt>
                <c:pt idx="20">
                  <c:v>14.5</c:v>
                </c:pt>
                <c:pt idx="21">
                  <c:v>14</c:v>
                </c:pt>
                <c:pt idx="22">
                  <c:v>13.5</c:v>
                </c:pt>
              </c:numCache>
            </c:numRef>
          </c:xVal>
          <c:yVal>
            <c:numRef>
              <c:f>'Turbine  Libre'!$M$25:$M$47</c:f>
              <c:numCache>
                <c:formatCode>0.00</c:formatCode>
                <c:ptCount val="23"/>
                <c:pt idx="0">
                  <c:v>15.741117429250357</c:v>
                </c:pt>
                <c:pt idx="1">
                  <c:v>15.276221312550973</c:v>
                </c:pt>
                <c:pt idx="2">
                  <c:v>14.818828150100616</c:v>
                </c:pt>
                <c:pt idx="3">
                  <c:v>14.367877238631612</c:v>
                </c:pt>
                <c:pt idx="4">
                  <c:v>13.922069082895819</c:v>
                </c:pt>
                <c:pt idx="5">
                  <c:v>13.479868388640167</c:v>
                </c:pt>
                <c:pt idx="6">
                  <c:v>13.039541814733454</c:v>
                </c:pt>
                <c:pt idx="7">
                  <c:v>12.599226764092169</c:v>
                </c:pt>
                <c:pt idx="8">
                  <c:v>12.1570235300329</c:v>
                </c:pt>
                <c:pt idx="9">
                  <c:v>11.711098186296161</c:v>
                </c:pt>
                <c:pt idx="10">
                  <c:v>11.259777178887331</c:v>
                </c:pt>
                <c:pt idx="11">
                  <c:v>10.801605264356841</c:v>
                </c:pt>
                <c:pt idx="12">
                  <c:v>10.522990370159473</c:v>
                </c:pt>
                <c:pt idx="13">
                  <c:v>10.336832592559013</c:v>
                </c:pt>
                <c:pt idx="14">
                  <c:v>10.102203296069892</c:v>
                </c:pt>
                <c:pt idx="15">
                  <c:v>9.86536918690752</c:v>
                </c:pt>
                <c:pt idx="16">
                  <c:v>9.6262741866023838</c:v>
                </c:pt>
                <c:pt idx="17">
                  <c:v>9.3848567719162261</c:v>
                </c:pt>
                <c:pt idx="18">
                  <c:v>9.1410327791865402</c:v>
                </c:pt>
                <c:pt idx="19">
                  <c:v>8.8946723257355433</c:v>
                </c:pt>
                <c:pt idx="20">
                  <c:v>8.6455701178735982</c:v>
                </c:pt>
                <c:pt idx="21">
                  <c:v>8.3934090056518826</c:v>
                </c:pt>
                <c:pt idx="22">
                  <c:v>8.1377184645236689</c:v>
                </c:pt>
              </c:numCache>
            </c:numRef>
          </c:yVal>
          <c:smooth val="1"/>
        </c:ser>
        <c:axId val="226470144"/>
        <c:axId val="241020928"/>
      </c:scatterChart>
      <c:valAx>
        <c:axId val="226461568"/>
        <c:scaling>
          <c:orientation val="minMax"/>
          <c:min val="10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 inlet (K)</a:t>
                </a:r>
              </a:p>
            </c:rich>
          </c:tx>
          <c:layout>
            <c:manualLayout>
              <c:xMode val="edge"/>
              <c:yMode val="edge"/>
              <c:x val="0.4510208576020982"/>
              <c:y val="0.89062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26467840"/>
        <c:crosses val="autoZero"/>
        <c:crossBetween val="midCat"/>
      </c:valAx>
      <c:valAx>
        <c:axId val="226467840"/>
        <c:scaling>
          <c:orientation val="minMax"/>
          <c:min val="20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Vitesse (Hz)</a:t>
                </a:r>
              </a:p>
            </c:rich>
          </c:tx>
          <c:layout>
            <c:manualLayout>
              <c:xMode val="edge"/>
              <c:yMode val="edge"/>
              <c:x val="3.0612275402857346E-2"/>
              <c:y val="0.33124999999999999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26461568"/>
        <c:crosses val="autoZero"/>
        <c:crossBetween val="midCat"/>
      </c:valAx>
      <c:valAx>
        <c:axId val="226470144"/>
        <c:scaling>
          <c:orientation val="minMax"/>
        </c:scaling>
        <c:delete val="1"/>
        <c:axPos val="b"/>
        <c:numFmt formatCode="General" sourceLinked="1"/>
        <c:tickLblPos val="none"/>
        <c:crossAx val="241020928"/>
        <c:crosses val="autoZero"/>
        <c:crossBetween val="midCat"/>
      </c:valAx>
      <c:valAx>
        <c:axId val="241020928"/>
        <c:scaling>
          <c:orientation val="minMax"/>
        </c:scaling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 outlet (K)</a:t>
                </a:r>
              </a:p>
            </c:rich>
          </c:tx>
          <c:layout>
            <c:manualLayout>
              <c:xMode val="edge"/>
              <c:yMode val="edge"/>
              <c:x val="0.91836826208572031"/>
              <c:y val="0.34062500000000001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26470144"/>
        <c:crosses val="max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836756454038239"/>
          <c:y val="0.13437499999999999"/>
          <c:w val="0.1591838320948582"/>
          <c:h val="0.12187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" r="0.75" t="1" header="0.4921259845" footer="0.492125984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1425661914460285"/>
          <c:y val="7.7881856873834435E-2"/>
          <c:w val="0.71283095723014256"/>
          <c:h val="0.72897418033909034"/>
        </c:manualLayout>
      </c:layout>
      <c:scatterChart>
        <c:scatterStyle val="smoothMarker"/>
        <c:ser>
          <c:idx val="0"/>
          <c:order val="0"/>
          <c:tx>
            <c:strRef>
              <c:f>'Turbine  Libre'!$L$24</c:f>
              <c:strCache>
                <c:ptCount val="1"/>
                <c:pt idx="0">
                  <c:v>Vitesse 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'Turbine  Libre'!$C$25:$C$47</c:f>
              <c:numCache>
                <c:formatCode>General</c:formatCode>
                <c:ptCount val="23"/>
                <c:pt idx="0">
                  <c:v>30</c:v>
                </c:pt>
                <c:pt idx="1">
                  <c:v>29</c:v>
                </c:pt>
                <c:pt idx="2">
                  <c:v>28</c:v>
                </c:pt>
                <c:pt idx="3">
                  <c:v>27</c:v>
                </c:pt>
                <c:pt idx="4">
                  <c:v>26</c:v>
                </c:pt>
                <c:pt idx="5">
                  <c:v>25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21</c:v>
                </c:pt>
                <c:pt idx="10">
                  <c:v>20</c:v>
                </c:pt>
                <c:pt idx="11">
                  <c:v>19</c:v>
                </c:pt>
                <c:pt idx="12">
                  <c:v>18.399999999999999</c:v>
                </c:pt>
                <c:pt idx="13">
                  <c:v>18</c:v>
                </c:pt>
                <c:pt idx="14">
                  <c:v>17.5</c:v>
                </c:pt>
                <c:pt idx="15">
                  <c:v>17</c:v>
                </c:pt>
                <c:pt idx="16">
                  <c:v>16.5</c:v>
                </c:pt>
                <c:pt idx="17">
                  <c:v>16</c:v>
                </c:pt>
                <c:pt idx="18">
                  <c:v>15.5</c:v>
                </c:pt>
                <c:pt idx="19">
                  <c:v>15</c:v>
                </c:pt>
                <c:pt idx="20">
                  <c:v>14.5</c:v>
                </c:pt>
                <c:pt idx="21">
                  <c:v>14</c:v>
                </c:pt>
                <c:pt idx="22">
                  <c:v>13.5</c:v>
                </c:pt>
              </c:numCache>
            </c:numRef>
          </c:xVal>
          <c:yVal>
            <c:numRef>
              <c:f>'Turbine  Libre'!$L$25:$L$47</c:f>
              <c:numCache>
                <c:formatCode>0.0</c:formatCode>
                <c:ptCount val="23"/>
                <c:pt idx="0">
                  <c:v>3106.4130620455703</c:v>
                </c:pt>
                <c:pt idx="1">
                  <c:v>3082.0450633252208</c:v>
                </c:pt>
                <c:pt idx="2">
                  <c:v>3058.8674403727337</c:v>
                </c:pt>
                <c:pt idx="3">
                  <c:v>3036.3619790646385</c:v>
                </c:pt>
                <c:pt idx="4">
                  <c:v>3014.0218500281389</c:v>
                </c:pt>
                <c:pt idx="5">
                  <c:v>2991.3513748306418</c:v>
                </c:pt>
                <c:pt idx="6">
                  <c:v>2967.8676655996437</c:v>
                </c:pt>
                <c:pt idx="7">
                  <c:v>2943.1038115702413</c:v>
                </c:pt>
                <c:pt idx="8">
                  <c:v>2916.6128500310938</c:v>
                </c:pt>
                <c:pt idx="9">
                  <c:v>2887.9708384505439</c:v>
                </c:pt>
                <c:pt idx="10">
                  <c:v>2856.7755164862015</c:v>
                </c:pt>
                <c:pt idx="11">
                  <c:v>2822.6334486285</c:v>
                </c:pt>
                <c:pt idx="12">
                  <c:v>2800.5347346169278</c:v>
                </c:pt>
                <c:pt idx="13">
                  <c:v>2784.7564291364033</c:v>
                </c:pt>
                <c:pt idx="14">
                  <c:v>2764.1761668605905</c:v>
                </c:pt>
                <c:pt idx="15">
                  <c:v>2742.5990264392713</c:v>
                </c:pt>
                <c:pt idx="16">
                  <c:v>2719.9703463756305</c:v>
                </c:pt>
                <c:pt idx="17">
                  <c:v>2696.2222233622688</c:v>
                </c:pt>
                <c:pt idx="18">
                  <c:v>2671.2651486917889</c:v>
                </c:pt>
                <c:pt idx="19">
                  <c:v>2644.9760802522724</c:v>
                </c:pt>
                <c:pt idx="20">
                  <c:v>2617.181725601271</c:v>
                </c:pt>
                <c:pt idx="21">
                  <c:v>2587.6355155306005</c:v>
                </c:pt>
                <c:pt idx="22">
                  <c:v>2555.9865085873257</c:v>
                </c:pt>
              </c:numCache>
            </c:numRef>
          </c:yVal>
          <c:smooth val="1"/>
        </c:ser>
        <c:axId val="365742720"/>
        <c:axId val="365890944"/>
      </c:scatterChart>
      <c:scatterChart>
        <c:scatterStyle val="lineMarker"/>
        <c:ser>
          <c:idx val="1"/>
          <c:order val="1"/>
          <c:tx>
            <c:strRef>
              <c:f>'Turbine  Libre'!$J$24</c:f>
              <c:strCache>
                <c:ptCount val="1"/>
                <c:pt idx="0">
                  <c:v>Rndt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'Turbine  Libre'!$C$25:$C$47</c:f>
              <c:numCache>
                <c:formatCode>General</c:formatCode>
                <c:ptCount val="23"/>
                <c:pt idx="0">
                  <c:v>30</c:v>
                </c:pt>
                <c:pt idx="1">
                  <c:v>29</c:v>
                </c:pt>
                <c:pt idx="2">
                  <c:v>28</c:v>
                </c:pt>
                <c:pt idx="3">
                  <c:v>27</c:v>
                </c:pt>
                <c:pt idx="4">
                  <c:v>26</c:v>
                </c:pt>
                <c:pt idx="5">
                  <c:v>25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21</c:v>
                </c:pt>
                <c:pt idx="10">
                  <c:v>20</c:v>
                </c:pt>
                <c:pt idx="11">
                  <c:v>19</c:v>
                </c:pt>
                <c:pt idx="12">
                  <c:v>18.399999999999999</c:v>
                </c:pt>
                <c:pt idx="13">
                  <c:v>18</c:v>
                </c:pt>
                <c:pt idx="14">
                  <c:v>17.5</c:v>
                </c:pt>
                <c:pt idx="15">
                  <c:v>17</c:v>
                </c:pt>
                <c:pt idx="16">
                  <c:v>16.5</c:v>
                </c:pt>
                <c:pt idx="17">
                  <c:v>16</c:v>
                </c:pt>
                <c:pt idx="18">
                  <c:v>15.5</c:v>
                </c:pt>
                <c:pt idx="19">
                  <c:v>15</c:v>
                </c:pt>
                <c:pt idx="20">
                  <c:v>14.5</c:v>
                </c:pt>
                <c:pt idx="21">
                  <c:v>14</c:v>
                </c:pt>
                <c:pt idx="22">
                  <c:v>13.5</c:v>
                </c:pt>
              </c:numCache>
            </c:numRef>
          </c:xVal>
          <c:yVal>
            <c:numRef>
              <c:f>'Turbine  Libre'!$J$25:$J$47</c:f>
              <c:numCache>
                <c:formatCode>0.00</c:formatCode>
                <c:ptCount val="23"/>
                <c:pt idx="0">
                  <c:v>70.998253916648935</c:v>
                </c:pt>
                <c:pt idx="1">
                  <c:v>70.624423715593338</c:v>
                </c:pt>
                <c:pt idx="2">
                  <c:v>70.181837566739802</c:v>
                </c:pt>
                <c:pt idx="3">
                  <c:v>69.668586628865839</c:v>
                </c:pt>
                <c:pt idx="4">
                  <c:v>69.083809457194292</c:v>
                </c:pt>
                <c:pt idx="5">
                  <c:v>68.427876480595657</c:v>
                </c:pt>
                <c:pt idx="6">
                  <c:v>67.702405367193393</c:v>
                </c:pt>
                <c:pt idx="7">
                  <c:v>66.910084522886507</c:v>
                </c:pt>
                <c:pt idx="8">
                  <c:v>66.054302595481303</c:v>
                </c:pt>
                <c:pt idx="9">
                  <c:v>65.13862023627172</c:v>
                </c:pt>
                <c:pt idx="10">
                  <c:v>64.166189680228371</c:v>
                </c:pt>
                <c:pt idx="11">
                  <c:v>63.139355890888538</c:v>
                </c:pt>
                <c:pt idx="12">
                  <c:v>62.497555205894983</c:v>
                </c:pt>
                <c:pt idx="13">
                  <c:v>62.055059387799531</c:v>
                </c:pt>
                <c:pt idx="14">
                  <c:v>61.489159965387543</c:v>
                </c:pt>
                <c:pt idx="15">
                  <c:v>60.908571759653462</c:v>
                </c:pt>
                <c:pt idx="16">
                  <c:v>60.312744151668753</c:v>
                </c:pt>
                <c:pt idx="17">
                  <c:v>59.701234042305096</c:v>
                </c:pt>
                <c:pt idx="18">
                  <c:v>59.07392596623238</c:v>
                </c:pt>
                <c:pt idx="19">
                  <c:v>58.431362209828777</c:v>
                </c:pt>
                <c:pt idx="20">
                  <c:v>57.775217507744898</c:v>
                </c:pt>
                <c:pt idx="21">
                  <c:v>57.10895711188202</c:v>
                </c:pt>
                <c:pt idx="22">
                  <c:v>56.438713066962123</c:v>
                </c:pt>
              </c:numCache>
            </c:numRef>
          </c:yVal>
          <c:smooth val="1"/>
        </c:ser>
        <c:axId val="365959808"/>
        <c:axId val="366056192"/>
      </c:scatterChart>
      <c:valAx>
        <c:axId val="365742720"/>
        <c:scaling>
          <c:orientation val="minMax"/>
          <c:min val="10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 inlet (K)</a:t>
                </a:r>
              </a:p>
            </c:rich>
          </c:tx>
          <c:layout>
            <c:manualLayout>
              <c:xMode val="edge"/>
              <c:yMode val="edge"/>
              <c:x val="0.44195519348268841"/>
              <c:y val="0.8909684426366659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5890944"/>
        <c:crosses val="autoZero"/>
        <c:crossBetween val="midCat"/>
      </c:valAx>
      <c:valAx>
        <c:axId val="365890944"/>
        <c:scaling>
          <c:orientation val="minMax"/>
          <c:min val="20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Vitesse (Hz)</a:t>
                </a:r>
              </a:p>
            </c:rich>
          </c:tx>
          <c:layout>
            <c:manualLayout>
              <c:xMode val="edge"/>
              <c:yMode val="edge"/>
              <c:x val="3.0549898167006109E-2"/>
              <c:y val="0.33333434742001139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5742720"/>
        <c:crosses val="autoZero"/>
        <c:crossBetween val="midCat"/>
      </c:valAx>
      <c:valAx>
        <c:axId val="365959808"/>
        <c:scaling>
          <c:orientation val="minMax"/>
        </c:scaling>
        <c:delete val="1"/>
        <c:axPos val="b"/>
        <c:numFmt formatCode="General" sourceLinked="1"/>
        <c:tickLblPos val="none"/>
        <c:crossAx val="366056192"/>
        <c:crosses val="autoZero"/>
        <c:crossBetween val="midCat"/>
      </c:valAx>
      <c:valAx>
        <c:axId val="366056192"/>
        <c:scaling>
          <c:orientation val="minMax"/>
        </c:scaling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Rndt (%)</a:t>
                </a:r>
              </a:p>
            </c:rich>
          </c:tx>
          <c:layout>
            <c:manualLayout>
              <c:xMode val="edge"/>
              <c:yMode val="edge"/>
              <c:x val="0.91853360488798375"/>
              <c:y val="0.36760236444449851"/>
            </c:manualLayout>
          </c:layout>
          <c:spPr>
            <a:noFill/>
            <a:ln w="25400">
              <a:noFill/>
            </a:ln>
          </c:spPr>
        </c:title>
        <c:numFmt formatCode="0.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5959808"/>
        <c:crosses val="max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922606924643583"/>
          <c:y val="9.3458228248601324E-2"/>
          <c:w val="0.15885947046843177"/>
          <c:h val="0.1214956967231817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" r="0.75" t="1" header="0.4921259845" footer="0.492125984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14227670516685953"/>
          <c:y val="7.763986928600132E-2"/>
          <c:w val="0.71341605019382426"/>
          <c:h val="0.72981477128841243"/>
        </c:manualLayout>
      </c:layout>
      <c:scatterChart>
        <c:scatterStyle val="smoothMarker"/>
        <c:ser>
          <c:idx val="0"/>
          <c:order val="0"/>
          <c:tx>
            <c:strRef>
              <c:f>'Turbine  Libre'!$L$24</c:f>
              <c:strCache>
                <c:ptCount val="1"/>
                <c:pt idx="0">
                  <c:v>Vitesse 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'Turbine  Libre'!$C$25:$C$47</c:f>
              <c:numCache>
                <c:formatCode>General</c:formatCode>
                <c:ptCount val="23"/>
                <c:pt idx="0">
                  <c:v>30</c:v>
                </c:pt>
                <c:pt idx="1">
                  <c:v>29</c:v>
                </c:pt>
                <c:pt idx="2">
                  <c:v>28</c:v>
                </c:pt>
                <c:pt idx="3">
                  <c:v>27</c:v>
                </c:pt>
                <c:pt idx="4">
                  <c:v>26</c:v>
                </c:pt>
                <c:pt idx="5">
                  <c:v>25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21</c:v>
                </c:pt>
                <c:pt idx="10">
                  <c:v>20</c:v>
                </c:pt>
                <c:pt idx="11">
                  <c:v>19</c:v>
                </c:pt>
                <c:pt idx="12">
                  <c:v>18.399999999999999</c:v>
                </c:pt>
                <c:pt idx="13">
                  <c:v>18</c:v>
                </c:pt>
                <c:pt idx="14">
                  <c:v>17.5</c:v>
                </c:pt>
                <c:pt idx="15">
                  <c:v>17</c:v>
                </c:pt>
                <c:pt idx="16">
                  <c:v>16.5</c:v>
                </c:pt>
                <c:pt idx="17">
                  <c:v>16</c:v>
                </c:pt>
                <c:pt idx="18">
                  <c:v>15.5</c:v>
                </c:pt>
                <c:pt idx="19">
                  <c:v>15</c:v>
                </c:pt>
                <c:pt idx="20">
                  <c:v>14.5</c:v>
                </c:pt>
                <c:pt idx="21">
                  <c:v>14</c:v>
                </c:pt>
                <c:pt idx="22">
                  <c:v>13.5</c:v>
                </c:pt>
              </c:numCache>
            </c:numRef>
          </c:xVal>
          <c:yVal>
            <c:numRef>
              <c:f>'Turbine  Libre'!$L$25:$L$47</c:f>
              <c:numCache>
                <c:formatCode>0.0</c:formatCode>
                <c:ptCount val="23"/>
                <c:pt idx="0">
                  <c:v>3106.4130620455703</c:v>
                </c:pt>
                <c:pt idx="1">
                  <c:v>3082.0450633252208</c:v>
                </c:pt>
                <c:pt idx="2">
                  <c:v>3058.8674403727337</c:v>
                </c:pt>
                <c:pt idx="3">
                  <c:v>3036.3619790646385</c:v>
                </c:pt>
                <c:pt idx="4">
                  <c:v>3014.0218500281389</c:v>
                </c:pt>
                <c:pt idx="5">
                  <c:v>2991.3513748306418</c:v>
                </c:pt>
                <c:pt idx="6">
                  <c:v>2967.8676655996437</c:v>
                </c:pt>
                <c:pt idx="7">
                  <c:v>2943.1038115702413</c:v>
                </c:pt>
                <c:pt idx="8">
                  <c:v>2916.6128500310938</c:v>
                </c:pt>
                <c:pt idx="9">
                  <c:v>2887.9708384505439</c:v>
                </c:pt>
                <c:pt idx="10">
                  <c:v>2856.7755164862015</c:v>
                </c:pt>
                <c:pt idx="11">
                  <c:v>2822.6334486285</c:v>
                </c:pt>
                <c:pt idx="12">
                  <c:v>2800.5347346169278</c:v>
                </c:pt>
                <c:pt idx="13">
                  <c:v>2784.7564291364033</c:v>
                </c:pt>
                <c:pt idx="14">
                  <c:v>2764.1761668605905</c:v>
                </c:pt>
                <c:pt idx="15">
                  <c:v>2742.5990264392713</c:v>
                </c:pt>
                <c:pt idx="16">
                  <c:v>2719.9703463756305</c:v>
                </c:pt>
                <c:pt idx="17">
                  <c:v>2696.2222233622688</c:v>
                </c:pt>
                <c:pt idx="18">
                  <c:v>2671.2651486917889</c:v>
                </c:pt>
                <c:pt idx="19">
                  <c:v>2644.9760802522724</c:v>
                </c:pt>
                <c:pt idx="20">
                  <c:v>2617.181725601271</c:v>
                </c:pt>
                <c:pt idx="21">
                  <c:v>2587.6355155306005</c:v>
                </c:pt>
                <c:pt idx="22">
                  <c:v>2555.9865085873257</c:v>
                </c:pt>
              </c:numCache>
            </c:numRef>
          </c:yVal>
          <c:smooth val="1"/>
        </c:ser>
        <c:axId val="368663936"/>
        <c:axId val="398259712"/>
      </c:scatterChart>
      <c:scatterChart>
        <c:scatterStyle val="lineMarker"/>
        <c:ser>
          <c:idx val="1"/>
          <c:order val="1"/>
          <c:tx>
            <c:strRef>
              <c:f>'Turbine  Libre'!$D$24</c:f>
              <c:strCache>
                <c:ptCount val="1"/>
                <c:pt idx="0">
                  <c:v>Pression 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'Turbine  Libre'!$C$25:$C$47</c:f>
              <c:numCache>
                <c:formatCode>General</c:formatCode>
                <c:ptCount val="23"/>
                <c:pt idx="0">
                  <c:v>30</c:v>
                </c:pt>
                <c:pt idx="1">
                  <c:v>29</c:v>
                </c:pt>
                <c:pt idx="2">
                  <c:v>28</c:v>
                </c:pt>
                <c:pt idx="3">
                  <c:v>27</c:v>
                </c:pt>
                <c:pt idx="4">
                  <c:v>26</c:v>
                </c:pt>
                <c:pt idx="5">
                  <c:v>25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21</c:v>
                </c:pt>
                <c:pt idx="10">
                  <c:v>20</c:v>
                </c:pt>
                <c:pt idx="11">
                  <c:v>19</c:v>
                </c:pt>
                <c:pt idx="12">
                  <c:v>18.399999999999999</c:v>
                </c:pt>
                <c:pt idx="13">
                  <c:v>18</c:v>
                </c:pt>
                <c:pt idx="14">
                  <c:v>17.5</c:v>
                </c:pt>
                <c:pt idx="15">
                  <c:v>17</c:v>
                </c:pt>
                <c:pt idx="16">
                  <c:v>16.5</c:v>
                </c:pt>
                <c:pt idx="17">
                  <c:v>16</c:v>
                </c:pt>
                <c:pt idx="18">
                  <c:v>15.5</c:v>
                </c:pt>
                <c:pt idx="19">
                  <c:v>15</c:v>
                </c:pt>
                <c:pt idx="20">
                  <c:v>14.5</c:v>
                </c:pt>
                <c:pt idx="21">
                  <c:v>14</c:v>
                </c:pt>
                <c:pt idx="22">
                  <c:v>13.5</c:v>
                </c:pt>
              </c:numCache>
            </c:numRef>
          </c:xVal>
          <c:yVal>
            <c:numRef>
              <c:f>'Turbine  Libre'!$D$25:$D$47</c:f>
              <c:numCache>
                <c:formatCode>General</c:formatCode>
                <c:ptCount val="23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16</c:v>
                </c:pt>
                <c:pt idx="6">
                  <c:v>16</c:v>
                </c:pt>
                <c:pt idx="7">
                  <c:v>16</c:v>
                </c:pt>
                <c:pt idx="8">
                  <c:v>16</c:v>
                </c:pt>
                <c:pt idx="9">
                  <c:v>16</c:v>
                </c:pt>
                <c:pt idx="10">
                  <c:v>16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16</c:v>
                </c:pt>
                <c:pt idx="15">
                  <c:v>16</c:v>
                </c:pt>
                <c:pt idx="16">
                  <c:v>16</c:v>
                </c:pt>
                <c:pt idx="17">
                  <c:v>16</c:v>
                </c:pt>
                <c:pt idx="18">
                  <c:v>16</c:v>
                </c:pt>
                <c:pt idx="19">
                  <c:v>16</c:v>
                </c:pt>
                <c:pt idx="20">
                  <c:v>16</c:v>
                </c:pt>
                <c:pt idx="21">
                  <c:v>16</c:v>
                </c:pt>
                <c:pt idx="22">
                  <c:v>16</c:v>
                </c:pt>
              </c:numCache>
            </c:numRef>
          </c:yVal>
          <c:smooth val="1"/>
        </c:ser>
        <c:axId val="398261632"/>
        <c:axId val="398328960"/>
      </c:scatterChart>
      <c:valAx>
        <c:axId val="368663936"/>
        <c:scaling>
          <c:orientation val="minMax"/>
          <c:min val="10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 inlet (K)</a:t>
                </a:r>
              </a:p>
            </c:rich>
          </c:tx>
          <c:layout>
            <c:manualLayout>
              <c:xMode val="edge"/>
              <c:yMode val="edge"/>
              <c:x val="0.44105778601726453"/>
              <c:y val="0.8913056994032951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98259712"/>
        <c:crosses val="autoZero"/>
        <c:crossBetween val="midCat"/>
      </c:valAx>
      <c:valAx>
        <c:axId val="398259712"/>
        <c:scaling>
          <c:orientation val="minMax"/>
          <c:min val="20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Vitesse (Hz)</a:t>
                </a:r>
              </a:p>
            </c:rich>
          </c:tx>
          <c:layout>
            <c:manualLayout>
              <c:xMode val="edge"/>
              <c:yMode val="edge"/>
              <c:x val="3.048786539289847E-2"/>
              <c:y val="0.33229864054408564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8663936"/>
        <c:crosses val="autoZero"/>
        <c:crossBetween val="midCat"/>
      </c:valAx>
      <c:valAx>
        <c:axId val="398261632"/>
        <c:scaling>
          <c:orientation val="minMax"/>
        </c:scaling>
        <c:delete val="1"/>
        <c:axPos val="b"/>
        <c:numFmt formatCode="General" sourceLinked="1"/>
        <c:tickLblPos val="none"/>
        <c:crossAx val="398328960"/>
        <c:crosses val="autoZero"/>
        <c:crossBetween val="midCat"/>
      </c:valAx>
      <c:valAx>
        <c:axId val="398328960"/>
        <c:scaling>
          <c:orientation val="minMax"/>
          <c:max val="17"/>
          <c:min val="15"/>
        </c:scaling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Pression (bars)</a:t>
                </a:r>
              </a:p>
            </c:rich>
          </c:tx>
          <c:layout>
            <c:manualLayout>
              <c:xMode val="edge"/>
              <c:yMode val="edge"/>
              <c:x val="0.91870101050600728"/>
              <c:y val="0.30124269282968513"/>
            </c:manualLayout>
          </c:layout>
          <c:spPr>
            <a:noFill/>
            <a:ln w="25400">
              <a:noFill/>
            </a:ln>
          </c:spPr>
        </c:title>
        <c:numFmt formatCode="0.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98261632"/>
        <c:crosses val="max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479709491928458"/>
          <c:y val="0.19875806537216337"/>
          <c:w val="0.16869952184070489"/>
          <c:h val="0.1211181960861620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" r="0.75" t="1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scatterChart>
        <c:scatterStyle val="smoothMarker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Turbines_JT60SA!$B$129:$B$159</c:f>
              <c:numCache>
                <c:formatCode>General</c:formatCode>
                <c:ptCount val="3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  <c:pt idx="21">
                  <c:v>1.0500000000000003</c:v>
                </c:pt>
                <c:pt idx="22">
                  <c:v>1.1000000000000003</c:v>
                </c:pt>
                <c:pt idx="23">
                  <c:v>1.1500000000000004</c:v>
                </c:pt>
                <c:pt idx="24">
                  <c:v>1.2000000000000004</c:v>
                </c:pt>
                <c:pt idx="25">
                  <c:v>1.2500000000000004</c:v>
                </c:pt>
                <c:pt idx="26">
                  <c:v>1.3000000000000005</c:v>
                </c:pt>
                <c:pt idx="27">
                  <c:v>1.3500000000000005</c:v>
                </c:pt>
                <c:pt idx="28">
                  <c:v>1.4000000000000006</c:v>
                </c:pt>
                <c:pt idx="29">
                  <c:v>1.4500000000000006</c:v>
                </c:pt>
                <c:pt idx="30">
                  <c:v>1.5000000000000007</c:v>
                </c:pt>
              </c:numCache>
            </c:numRef>
          </c:xVal>
          <c:yVal>
            <c:numRef>
              <c:f>Turbines_JT60SA!$C$129:$C$159</c:f>
              <c:numCache>
                <c:formatCode>0.00%</c:formatCode>
                <c:ptCount val="31"/>
                <c:pt idx="0" formatCode="General">
                  <c:v>0</c:v>
                </c:pt>
                <c:pt idx="1">
                  <c:v>4.0382461852042459E-2</c:v>
                </c:pt>
                <c:pt idx="2">
                  <c:v>8.5098158171146673E-2</c:v>
                </c:pt>
                <c:pt idx="3">
                  <c:v>0.13323633134792623</c:v>
                </c:pt>
                <c:pt idx="4">
                  <c:v>0.18392485650409657</c:v>
                </c:pt>
                <c:pt idx="5">
                  <c:v>0.23633024149247489</c:v>
                </c:pt>
                <c:pt idx="6">
                  <c:v>0.28965762689698032</c:v>
                </c:pt>
                <c:pt idx="7">
                  <c:v>0.34315078603263366</c:v>
                </c:pt>
                <c:pt idx="8">
                  <c:v>0.39609212494555779</c:v>
                </c:pt>
                <c:pt idx="9">
                  <c:v>0.4478026824129771</c:v>
                </c:pt>
                <c:pt idx="10">
                  <c:v>0.49764212994321799</c:v>
                </c:pt>
                <c:pt idx="11">
                  <c:v>0.54500877177570861</c:v>
                </c:pt>
                <c:pt idx="12">
                  <c:v>0.58933954488097895</c:v>
                </c:pt>
                <c:pt idx="13">
                  <c:v>0.63011001896066099</c:v>
                </c:pt>
                <c:pt idx="14">
                  <c:v>0.66683439644748832</c:v>
                </c:pt>
                <c:pt idx="15">
                  <c:v>0.69906551250529614</c:v>
                </c:pt>
                <c:pt idx="16">
                  <c:v>0.7263948350290218</c:v>
                </c:pt>
                <c:pt idx="17">
                  <c:v>0.74845246464470438</c:v>
                </c:pt>
                <c:pt idx="18">
                  <c:v>0.76490713470948513</c:v>
                </c:pt>
                <c:pt idx="19">
                  <c:v>0.77546621131160665</c:v>
                </c:pt>
                <c:pt idx="20">
                  <c:v>0.77987569327041351</c:v>
                </c:pt>
                <c:pt idx="21">
                  <c:v>0.77792021213635165</c:v>
                </c:pt>
                <c:pt idx="22">
                  <c:v>0.76942303219096997</c:v>
                </c:pt>
                <c:pt idx="23">
                  <c:v>0.75424605044691839</c:v>
                </c:pt>
                <c:pt idx="24">
                  <c:v>0.7322897966479478</c:v>
                </c:pt>
                <c:pt idx="25">
                  <c:v>0.70349343326891334</c:v>
                </c:pt>
                <c:pt idx="26">
                  <c:v>0.66783475551576954</c:v>
                </c:pt>
                <c:pt idx="27">
                  <c:v>0.62533019132557388</c:v>
                </c:pt>
                <c:pt idx="28">
                  <c:v>0.57603480136648577</c:v>
                </c:pt>
                <c:pt idx="29">
                  <c:v>0.5200422790377659</c:v>
                </c:pt>
                <c:pt idx="30">
                  <c:v>0.45748495046977738</c:v>
                </c:pt>
              </c:numCache>
            </c:numRef>
          </c:yVal>
          <c:smooth val="1"/>
        </c:ser>
        <c:ser>
          <c:idx val="1"/>
          <c:order val="1"/>
          <c:spPr>
            <a:ln w="28575">
              <a:noFill/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Turbines_JT60SA!$F$41</c:f>
              <c:numCache>
                <c:formatCode>0.00%</c:formatCode>
                <c:ptCount val="1"/>
                <c:pt idx="0">
                  <c:v>0</c:v>
                </c:pt>
              </c:numCache>
            </c:numRef>
          </c:xVal>
          <c:yVal>
            <c:numRef>
              <c:f>Turbines_JT60SA!$F$42</c:f>
              <c:numCache>
                <c:formatCode>0.00%</c:formatCode>
                <c:ptCount val="1"/>
                <c:pt idx="0">
                  <c:v>0</c:v>
                </c:pt>
              </c:numCache>
            </c:numRef>
          </c:yVal>
          <c:smooth val="1"/>
        </c:ser>
        <c:axId val="353722752"/>
        <c:axId val="353725056"/>
      </c:scatterChart>
      <c:valAx>
        <c:axId val="353722752"/>
        <c:scaling>
          <c:orientation val="minMax"/>
          <c:max val="1.5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U1/C0 / U1/C0 nom</a:t>
                </a:r>
              </a:p>
            </c:rich>
          </c:tx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53725056"/>
        <c:crosses val="autoZero"/>
        <c:crossBetween val="midCat"/>
      </c:valAx>
      <c:valAx>
        <c:axId val="35372505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Rendement</a:t>
                </a:r>
              </a:p>
            </c:rich>
          </c:tx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5372275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10580213594061295"/>
          <c:y val="6.2645011600928072E-2"/>
          <c:w val="0.84641708752490363"/>
          <c:h val="0.75638051044083532"/>
        </c:manualLayout>
      </c:layout>
      <c:scatterChart>
        <c:scatterStyle val="lineMarker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Turbines_JT60SA!$B$129:$B$159</c:f>
              <c:numCache>
                <c:formatCode>General</c:formatCode>
                <c:ptCount val="3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  <c:pt idx="21">
                  <c:v>1.0500000000000003</c:v>
                </c:pt>
                <c:pt idx="22">
                  <c:v>1.1000000000000003</c:v>
                </c:pt>
                <c:pt idx="23">
                  <c:v>1.1500000000000004</c:v>
                </c:pt>
                <c:pt idx="24">
                  <c:v>1.2000000000000004</c:v>
                </c:pt>
                <c:pt idx="25">
                  <c:v>1.2500000000000004</c:v>
                </c:pt>
                <c:pt idx="26">
                  <c:v>1.3000000000000005</c:v>
                </c:pt>
                <c:pt idx="27">
                  <c:v>1.3500000000000005</c:v>
                </c:pt>
                <c:pt idx="28">
                  <c:v>1.4000000000000006</c:v>
                </c:pt>
                <c:pt idx="29">
                  <c:v>1.4500000000000006</c:v>
                </c:pt>
                <c:pt idx="30">
                  <c:v>1.5000000000000007</c:v>
                </c:pt>
              </c:numCache>
            </c:numRef>
          </c:xVal>
          <c:yVal>
            <c:numRef>
              <c:f>Turbines_JT60SA!$E$129:$E$159</c:f>
              <c:numCache>
                <c:formatCode>0.00%</c:formatCode>
                <c:ptCount val="31"/>
                <c:pt idx="1">
                  <c:v>3.7793842502552556E-2</c:v>
                </c:pt>
                <c:pt idx="2">
                  <c:v>7.964314803197059E-2</c:v>
                </c:pt>
                <c:pt idx="3">
                  <c:v>0.12469554087690531</c:v>
                </c:pt>
                <c:pt idx="4">
                  <c:v>0.17213480159998779</c:v>
                </c:pt>
                <c:pt idx="5">
                  <c:v>0.22118086703782905</c:v>
                </c:pt>
                <c:pt idx="6">
                  <c:v>0.27108983030102002</c:v>
                </c:pt>
                <c:pt idx="7">
                  <c:v>0.32115394077413151</c:v>
                </c:pt>
                <c:pt idx="8">
                  <c:v>0.37070160411571434</c:v>
                </c:pt>
                <c:pt idx="9">
                  <c:v>0.41909738225829907</c:v>
                </c:pt>
                <c:pt idx="10">
                  <c:v>0.46574199340839634</c:v>
                </c:pt>
                <c:pt idx="11">
                  <c:v>0.5100723120464965</c:v>
                </c:pt>
                <c:pt idx="12">
                  <c:v>0.55156136892707008</c:v>
                </c:pt>
                <c:pt idx="13">
                  <c:v>0.58971835107856729</c:v>
                </c:pt>
                <c:pt idx="14">
                  <c:v>0.62408860180341841</c:v>
                </c:pt>
                <c:pt idx="15">
                  <c:v>0.65425362067803339</c:v>
                </c:pt>
                <c:pt idx="16">
                  <c:v>0.67983106355280232</c:v>
                </c:pt>
                <c:pt idx="17">
                  <c:v>0.70047474255209508</c:v>
                </c:pt>
                <c:pt idx="18">
                  <c:v>0.71587462607426167</c:v>
                </c:pt>
                <c:pt idx="19">
                  <c:v>0.72575683879163178</c:v>
                </c:pt>
                <c:pt idx="20">
                  <c:v>0.7298836616505151</c:v>
                </c:pt>
                <c:pt idx="21">
                  <c:v>0.72805353187120092</c:v>
                </c:pt>
                <c:pt idx="22">
                  <c:v>0.72010104294795907</c:v>
                </c:pt>
                <c:pt idx="23">
                  <c:v>0.70589694464903885</c:v>
                </c:pt>
                <c:pt idx="24">
                  <c:v>0.68534814301666902</c:v>
                </c:pt>
                <c:pt idx="25">
                  <c:v>0.6583977003670598</c:v>
                </c:pt>
                <c:pt idx="26">
                  <c:v>0.62502483529039965</c:v>
                </c:pt>
                <c:pt idx="27">
                  <c:v>0.58524492265085759</c:v>
                </c:pt>
                <c:pt idx="28">
                  <c:v>0.53910949358658278</c:v>
                </c:pt>
                <c:pt idx="29">
                  <c:v>0.48670623550970399</c:v>
                </c:pt>
                <c:pt idx="30">
                  <c:v>0.42815899210633013</c:v>
                </c:pt>
              </c:numCache>
            </c:numRef>
          </c:yVal>
        </c:ser>
        <c:ser>
          <c:idx val="2"/>
          <c:order val="1"/>
          <c:tx>
            <c:strRef>
              <c:f>Turbines_JT60SA!$F$81</c:f>
              <c:strCache>
                <c:ptCount val="1"/>
                <c:pt idx="0">
                  <c:v>MAX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10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rot="0" vert="wordArtVert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SerName val="1"/>
          </c:dLbls>
          <c:xVal>
            <c:numRef>
              <c:f>Turbines_JT60SA!$F$110</c:f>
              <c:numCache>
                <c:formatCode>0.00%</c:formatCode>
                <c:ptCount val="1"/>
                <c:pt idx="0">
                  <c:v>0</c:v>
                </c:pt>
              </c:numCache>
            </c:numRef>
          </c:xVal>
          <c:yVal>
            <c:numRef>
              <c:f>Turbines_JT60SA!$F$111</c:f>
              <c:numCache>
                <c:formatCode>0.00%</c:formatCode>
                <c:ptCount val="1"/>
                <c:pt idx="0">
                  <c:v>0</c:v>
                </c:pt>
              </c:numCache>
            </c:numRef>
          </c:yVal>
        </c:ser>
        <c:ser>
          <c:idx val="3"/>
          <c:order val="2"/>
          <c:tx>
            <c:strRef>
              <c:f>Turbines_JT60SA!$G$81</c:f>
              <c:strCache>
                <c:ptCount val="1"/>
                <c:pt idx="0">
                  <c:v>MIN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10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rot="0" vert="wordArtVert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SerName val="1"/>
          </c:dLbls>
          <c:xVal>
            <c:numRef>
              <c:f>Turbines_JT60SA!$G$110</c:f>
              <c:numCache>
                <c:formatCode>0.00%</c:formatCode>
                <c:ptCount val="1"/>
                <c:pt idx="0">
                  <c:v>0</c:v>
                </c:pt>
              </c:numCache>
            </c:numRef>
          </c:xVal>
          <c:yVal>
            <c:numRef>
              <c:f>Turbines_JT60SA!$G$111</c:f>
              <c:numCache>
                <c:formatCode>0.00%</c:formatCode>
                <c:ptCount val="1"/>
                <c:pt idx="0">
                  <c:v>0</c:v>
                </c:pt>
              </c:numCache>
            </c:numRef>
          </c:yVal>
        </c:ser>
        <c:ser>
          <c:idx val="4"/>
          <c:order val="3"/>
          <c:tx>
            <c:strRef>
              <c:f>Turbines_JT60SA!$H$81</c:f>
              <c:strCache>
                <c:ptCount val="1"/>
                <c:pt idx="0">
                  <c:v>STS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10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rot="0" vert="wordArtVert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SerName val="1"/>
          </c:dLbls>
          <c:xVal>
            <c:numRef>
              <c:f>Turbines_JT60SA!$H$110</c:f>
              <c:numCache>
                <c:formatCode>0.00%</c:formatCode>
                <c:ptCount val="1"/>
                <c:pt idx="0">
                  <c:v>0</c:v>
                </c:pt>
              </c:numCache>
            </c:numRef>
          </c:xVal>
          <c:yVal>
            <c:numRef>
              <c:f>Turbines_JT60SA!$H$111</c:f>
              <c:numCache>
                <c:formatCode>0.00%</c:formatCode>
                <c:ptCount val="1"/>
                <c:pt idx="0">
                  <c:v>0</c:v>
                </c:pt>
              </c:numCache>
            </c:numRef>
          </c:yVal>
        </c:ser>
        <c:ser>
          <c:idx val="5"/>
          <c:order val="4"/>
          <c:tx>
            <c:strRef>
              <c:f>Turbines_JT60SA!$I$81</c:f>
              <c:strCache>
                <c:ptCount val="1"/>
                <c:pt idx="0">
                  <c:v>BAKING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10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rot="0" vert="wordArtVert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SerName val="1"/>
          </c:dLbls>
          <c:xVal>
            <c:numRef>
              <c:f>Turbines_JT60SA!$I$110</c:f>
              <c:numCache>
                <c:formatCode>0.00%</c:formatCode>
                <c:ptCount val="1"/>
                <c:pt idx="0">
                  <c:v>0</c:v>
                </c:pt>
              </c:numCache>
            </c:numRef>
          </c:xVal>
          <c:yVal>
            <c:numRef>
              <c:f>Turbines_JT60SA!$I$111</c:f>
              <c:numCache>
                <c:formatCode>0.00%</c:formatCode>
                <c:ptCount val="1"/>
                <c:pt idx="0">
                  <c:v>0</c:v>
                </c:pt>
              </c:numCache>
            </c:numRef>
          </c:yVal>
        </c:ser>
        <c:axId val="354507392"/>
        <c:axId val="354530048"/>
      </c:scatterChart>
      <c:valAx>
        <c:axId val="354507392"/>
        <c:scaling>
          <c:orientation val="minMax"/>
          <c:max val="1.7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U1/C0 / U1/C0 nom</a:t>
                </a:r>
              </a:p>
            </c:rich>
          </c:tx>
          <c:layout>
            <c:manualLayout>
              <c:xMode val="edge"/>
              <c:yMode val="edge"/>
              <c:x val="0.41467612623507383"/>
              <c:y val="0.9002320185614849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54530048"/>
        <c:crosses val="autoZero"/>
        <c:crossBetween val="midCat"/>
      </c:valAx>
      <c:valAx>
        <c:axId val="3545300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Rendement</a:t>
                </a:r>
              </a:p>
            </c:rich>
          </c:tx>
          <c:layout>
            <c:manualLayout>
              <c:xMode val="edge"/>
              <c:yMode val="edge"/>
              <c:x val="2.7303754266211604E-2"/>
              <c:y val="0.3573085846867749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54507392"/>
        <c:crosses val="autoZero"/>
        <c:crossBetween val="midCat"/>
        <c:minorUnit val="0.1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10367901442227218"/>
          <c:y val="6.2500141285403293E-2"/>
          <c:w val="0.84949902139539135"/>
          <c:h val="0.75694615556766209"/>
        </c:manualLayout>
      </c:layout>
      <c:scatterChart>
        <c:scatterStyle val="lineMarker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Turbines_JT60SA!$B$129:$B$159</c:f>
              <c:numCache>
                <c:formatCode>General</c:formatCode>
                <c:ptCount val="3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  <c:pt idx="21">
                  <c:v>1.0500000000000003</c:v>
                </c:pt>
                <c:pt idx="22">
                  <c:v>1.1000000000000003</c:v>
                </c:pt>
                <c:pt idx="23">
                  <c:v>1.1500000000000004</c:v>
                </c:pt>
                <c:pt idx="24">
                  <c:v>1.2000000000000004</c:v>
                </c:pt>
                <c:pt idx="25">
                  <c:v>1.2500000000000004</c:v>
                </c:pt>
                <c:pt idx="26">
                  <c:v>1.3000000000000005</c:v>
                </c:pt>
                <c:pt idx="27">
                  <c:v>1.3500000000000005</c:v>
                </c:pt>
                <c:pt idx="28">
                  <c:v>1.4000000000000006</c:v>
                </c:pt>
                <c:pt idx="29">
                  <c:v>1.4500000000000006</c:v>
                </c:pt>
                <c:pt idx="30">
                  <c:v>1.5000000000000007</c:v>
                </c:pt>
              </c:numCache>
            </c:numRef>
          </c:xVal>
          <c:yVal>
            <c:numRef>
              <c:f>Turbines_JT60SA!$D$129:$D$159</c:f>
              <c:numCache>
                <c:formatCode>0.00%</c:formatCode>
                <c:ptCount val="31"/>
                <c:pt idx="1">
                  <c:v>4.0382461852042459E-2</c:v>
                </c:pt>
                <c:pt idx="2">
                  <c:v>8.5098158171146673E-2</c:v>
                </c:pt>
                <c:pt idx="3">
                  <c:v>0.13323633134792623</c:v>
                </c:pt>
                <c:pt idx="4">
                  <c:v>0.18392485650409657</c:v>
                </c:pt>
                <c:pt idx="5">
                  <c:v>0.23633024149247489</c:v>
                </c:pt>
                <c:pt idx="6">
                  <c:v>0.28965762689698032</c:v>
                </c:pt>
                <c:pt idx="7">
                  <c:v>0.34315078603263366</c:v>
                </c:pt>
                <c:pt idx="8">
                  <c:v>0.39609212494555779</c:v>
                </c:pt>
                <c:pt idx="9">
                  <c:v>0.4478026824129771</c:v>
                </c:pt>
                <c:pt idx="10">
                  <c:v>0.49764212994321799</c:v>
                </c:pt>
                <c:pt idx="11">
                  <c:v>0.54500877177570861</c:v>
                </c:pt>
                <c:pt idx="12">
                  <c:v>0.58933954488097895</c:v>
                </c:pt>
                <c:pt idx="13">
                  <c:v>0.63011001896066099</c:v>
                </c:pt>
                <c:pt idx="14">
                  <c:v>0.66683439644748832</c:v>
                </c:pt>
                <c:pt idx="15">
                  <c:v>0.69906551250529614</c:v>
                </c:pt>
                <c:pt idx="16">
                  <c:v>0.7263948350290218</c:v>
                </c:pt>
                <c:pt idx="17">
                  <c:v>0.74845246464470438</c:v>
                </c:pt>
                <c:pt idx="18">
                  <c:v>0.76490713470948513</c:v>
                </c:pt>
                <c:pt idx="19">
                  <c:v>0.77546621131160665</c:v>
                </c:pt>
                <c:pt idx="20">
                  <c:v>0.77987569327041351</c:v>
                </c:pt>
                <c:pt idx="21">
                  <c:v>0.77792021213635165</c:v>
                </c:pt>
                <c:pt idx="22">
                  <c:v>0.76942303219096997</c:v>
                </c:pt>
                <c:pt idx="23">
                  <c:v>0.75424605044691839</c:v>
                </c:pt>
                <c:pt idx="24">
                  <c:v>0.7322897966479478</c:v>
                </c:pt>
                <c:pt idx="25">
                  <c:v>0.70349343326891334</c:v>
                </c:pt>
                <c:pt idx="26">
                  <c:v>0.66783475551576954</c:v>
                </c:pt>
                <c:pt idx="27">
                  <c:v>0.62533019132557388</c:v>
                </c:pt>
                <c:pt idx="28">
                  <c:v>0.57603480136648577</c:v>
                </c:pt>
                <c:pt idx="29">
                  <c:v>0.5200422790377659</c:v>
                </c:pt>
                <c:pt idx="30">
                  <c:v>0.45748495046977738</c:v>
                </c:pt>
              </c:numCache>
            </c:numRef>
          </c:yVal>
        </c:ser>
        <c:ser>
          <c:idx val="2"/>
          <c:order val="1"/>
          <c:tx>
            <c:strRef>
              <c:f>Turbines_JT60SA!$F$47</c:f>
              <c:strCache>
                <c:ptCount val="1"/>
                <c:pt idx="0">
                  <c:v>MAX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10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rot="0" vert="wordArtVert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SerName val="1"/>
          </c:dLbls>
          <c:xVal>
            <c:numRef>
              <c:f>Turbines_JT60SA!$F$76</c:f>
              <c:numCache>
                <c:formatCode>0.00%</c:formatCode>
                <c:ptCount val="1"/>
                <c:pt idx="0">
                  <c:v>0</c:v>
                </c:pt>
              </c:numCache>
            </c:numRef>
          </c:xVal>
          <c:yVal>
            <c:numRef>
              <c:f>Turbines_JT60SA!$F$77</c:f>
              <c:numCache>
                <c:formatCode>0.00%</c:formatCode>
                <c:ptCount val="1"/>
                <c:pt idx="0">
                  <c:v>0</c:v>
                </c:pt>
              </c:numCache>
            </c:numRef>
          </c:yVal>
        </c:ser>
        <c:ser>
          <c:idx val="3"/>
          <c:order val="2"/>
          <c:tx>
            <c:strRef>
              <c:f>Turbines_JT60SA!$G$47</c:f>
              <c:strCache>
                <c:ptCount val="1"/>
                <c:pt idx="0">
                  <c:v>MIN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10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rot="0" vert="wordArtVert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SerName val="1"/>
          </c:dLbls>
          <c:xVal>
            <c:numRef>
              <c:f>Turbines_JT60SA!$G$76</c:f>
              <c:numCache>
                <c:formatCode>0.00%</c:formatCode>
                <c:ptCount val="1"/>
                <c:pt idx="0">
                  <c:v>0</c:v>
                </c:pt>
              </c:numCache>
            </c:numRef>
          </c:xVal>
          <c:yVal>
            <c:numRef>
              <c:f>Turbines_JT60SA!$G$77</c:f>
              <c:numCache>
                <c:formatCode>0.00%</c:formatCode>
                <c:ptCount val="1"/>
                <c:pt idx="0">
                  <c:v>0</c:v>
                </c:pt>
              </c:numCache>
            </c:numRef>
          </c:yVal>
        </c:ser>
        <c:ser>
          <c:idx val="4"/>
          <c:order val="3"/>
          <c:tx>
            <c:strRef>
              <c:f>Turbines_JT60SA!$H$47</c:f>
              <c:strCache>
                <c:ptCount val="1"/>
                <c:pt idx="0">
                  <c:v>STS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10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layout/>
              <c:spPr>
                <a:noFill/>
                <a:ln w="25400">
                  <a:noFill/>
                </a:ln>
              </c:spPr>
              <c:txPr>
                <a:bodyPr rot="0" vert="wordArtVert"/>
                <a:lstStyle/>
                <a:p>
                  <a:pPr algn="ctr">
                    <a:defRPr sz="112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t"/>
              <c:showSerName val="1"/>
            </c:dLbl>
            <c:spPr>
              <a:noFill/>
              <a:ln w="25400">
                <a:noFill/>
              </a:ln>
            </c:spPr>
            <c:txPr>
              <a:bodyPr rot="-27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r"/>
            <c:showSerName val="1"/>
          </c:dLbls>
          <c:xVal>
            <c:numRef>
              <c:f>Turbines_JT60SA!$H$76</c:f>
              <c:numCache>
                <c:formatCode>0.00%</c:formatCode>
                <c:ptCount val="1"/>
                <c:pt idx="0">
                  <c:v>0</c:v>
                </c:pt>
              </c:numCache>
            </c:numRef>
          </c:xVal>
          <c:yVal>
            <c:numRef>
              <c:f>Turbines_JT60SA!$H$77</c:f>
              <c:numCache>
                <c:formatCode>0.00%</c:formatCode>
                <c:ptCount val="1"/>
                <c:pt idx="0">
                  <c:v>0</c:v>
                </c:pt>
              </c:numCache>
            </c:numRef>
          </c:yVal>
        </c:ser>
        <c:ser>
          <c:idx val="5"/>
          <c:order val="4"/>
          <c:tx>
            <c:strRef>
              <c:f>Turbines_JT60SA!$I$47</c:f>
              <c:strCache>
                <c:ptCount val="1"/>
                <c:pt idx="0">
                  <c:v>BAKING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10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rot="0" vert="wordArtVert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SerName val="1"/>
          </c:dLbls>
          <c:xVal>
            <c:numRef>
              <c:f>Turbines_JT60SA!$I$76</c:f>
              <c:numCache>
                <c:formatCode>0.00%</c:formatCode>
                <c:ptCount val="1"/>
                <c:pt idx="0">
                  <c:v>0</c:v>
                </c:pt>
              </c:numCache>
            </c:numRef>
          </c:xVal>
          <c:yVal>
            <c:numRef>
              <c:f>Turbines_JT60SA!$I$77</c:f>
              <c:numCache>
                <c:formatCode>0.00%</c:formatCode>
                <c:ptCount val="1"/>
                <c:pt idx="0">
                  <c:v>0</c:v>
                </c:pt>
              </c:numCache>
            </c:numRef>
          </c:yVal>
        </c:ser>
        <c:axId val="354461184"/>
        <c:axId val="354463104"/>
      </c:scatterChart>
      <c:valAx>
        <c:axId val="354461184"/>
        <c:scaling>
          <c:orientation val="minMax"/>
          <c:max val="1.7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U1/C0 / U1/C0 nom</a:t>
                </a:r>
              </a:p>
            </c:rich>
          </c:tx>
          <c:layout>
            <c:manualLayout>
              <c:xMode val="edge"/>
              <c:yMode val="edge"/>
              <c:x val="0.41638831099289847"/>
              <c:y val="0.900464907164382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54463104"/>
        <c:crosses val="autoZero"/>
        <c:crossBetween val="midCat"/>
      </c:valAx>
      <c:valAx>
        <c:axId val="3544631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Rendement</a:t>
                </a:r>
              </a:p>
            </c:rich>
          </c:tx>
          <c:layout>
            <c:manualLayout>
              <c:xMode val="edge"/>
              <c:yMode val="edge"/>
              <c:x val="2.6755852842809364E-2"/>
              <c:y val="0.3564822105570137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54461184"/>
        <c:crosses val="autoZero"/>
        <c:crossBetween val="midCat"/>
        <c:minorUnit val="0.1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9.076696187732583E-2"/>
          <c:y val="6.5375302663438259E-2"/>
          <c:w val="0.86541603307174464"/>
          <c:h val="0.76271186440677963"/>
        </c:manualLayout>
      </c:layout>
      <c:scatterChart>
        <c:scatterStyle val="lineMarker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Turbines_JT60SA!$B$129:$B$159</c:f>
              <c:numCache>
                <c:formatCode>General</c:formatCode>
                <c:ptCount val="3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  <c:pt idx="21">
                  <c:v>1.0500000000000003</c:v>
                </c:pt>
                <c:pt idx="22">
                  <c:v>1.1000000000000003</c:v>
                </c:pt>
                <c:pt idx="23">
                  <c:v>1.1500000000000004</c:v>
                </c:pt>
                <c:pt idx="24">
                  <c:v>1.2000000000000004</c:v>
                </c:pt>
                <c:pt idx="25">
                  <c:v>1.2500000000000004</c:v>
                </c:pt>
                <c:pt idx="26">
                  <c:v>1.3000000000000005</c:v>
                </c:pt>
                <c:pt idx="27">
                  <c:v>1.3500000000000005</c:v>
                </c:pt>
                <c:pt idx="28">
                  <c:v>1.4000000000000006</c:v>
                </c:pt>
                <c:pt idx="29">
                  <c:v>1.4500000000000006</c:v>
                </c:pt>
                <c:pt idx="30">
                  <c:v>1.5000000000000007</c:v>
                </c:pt>
              </c:numCache>
            </c:numRef>
          </c:xVal>
          <c:yVal>
            <c:numRef>
              <c:f>Turbines_JT60SA!$C$129:$C$159</c:f>
              <c:numCache>
                <c:formatCode>0.00%</c:formatCode>
                <c:ptCount val="31"/>
                <c:pt idx="0" formatCode="General">
                  <c:v>0</c:v>
                </c:pt>
                <c:pt idx="1">
                  <c:v>4.0382461852042459E-2</c:v>
                </c:pt>
                <c:pt idx="2">
                  <c:v>8.5098158171146673E-2</c:v>
                </c:pt>
                <c:pt idx="3">
                  <c:v>0.13323633134792623</c:v>
                </c:pt>
                <c:pt idx="4">
                  <c:v>0.18392485650409657</c:v>
                </c:pt>
                <c:pt idx="5">
                  <c:v>0.23633024149247489</c:v>
                </c:pt>
                <c:pt idx="6">
                  <c:v>0.28965762689698032</c:v>
                </c:pt>
                <c:pt idx="7">
                  <c:v>0.34315078603263366</c:v>
                </c:pt>
                <c:pt idx="8">
                  <c:v>0.39609212494555779</c:v>
                </c:pt>
                <c:pt idx="9">
                  <c:v>0.4478026824129771</c:v>
                </c:pt>
                <c:pt idx="10">
                  <c:v>0.49764212994321799</c:v>
                </c:pt>
                <c:pt idx="11">
                  <c:v>0.54500877177570861</c:v>
                </c:pt>
                <c:pt idx="12">
                  <c:v>0.58933954488097895</c:v>
                </c:pt>
                <c:pt idx="13">
                  <c:v>0.63011001896066099</c:v>
                </c:pt>
                <c:pt idx="14">
                  <c:v>0.66683439644748832</c:v>
                </c:pt>
                <c:pt idx="15">
                  <c:v>0.69906551250529614</c:v>
                </c:pt>
                <c:pt idx="16">
                  <c:v>0.7263948350290218</c:v>
                </c:pt>
                <c:pt idx="17">
                  <c:v>0.74845246464470438</c:v>
                </c:pt>
                <c:pt idx="18">
                  <c:v>0.76490713470948513</c:v>
                </c:pt>
                <c:pt idx="19">
                  <c:v>0.77546621131160665</c:v>
                </c:pt>
                <c:pt idx="20">
                  <c:v>0.77987569327041351</c:v>
                </c:pt>
                <c:pt idx="21">
                  <c:v>0.77792021213635165</c:v>
                </c:pt>
                <c:pt idx="22">
                  <c:v>0.76942303219096997</c:v>
                </c:pt>
                <c:pt idx="23">
                  <c:v>0.75424605044691839</c:v>
                </c:pt>
                <c:pt idx="24">
                  <c:v>0.7322897966479478</c:v>
                </c:pt>
                <c:pt idx="25">
                  <c:v>0.70349343326891334</c:v>
                </c:pt>
                <c:pt idx="26">
                  <c:v>0.66783475551576954</c:v>
                </c:pt>
                <c:pt idx="27">
                  <c:v>0.62533019132557388</c:v>
                </c:pt>
                <c:pt idx="28">
                  <c:v>0.57603480136648577</c:v>
                </c:pt>
                <c:pt idx="29">
                  <c:v>0.5200422790377659</c:v>
                </c:pt>
                <c:pt idx="30">
                  <c:v>0.45748495046977738</c:v>
                </c:pt>
              </c:numCache>
            </c:numRef>
          </c:yVal>
        </c:ser>
        <c:ser>
          <c:idx val="2"/>
          <c:order val="1"/>
          <c:tx>
            <c:strRef>
              <c:f>Turbines_JT60SA!$F$12</c:f>
              <c:strCache>
                <c:ptCount val="1"/>
                <c:pt idx="0">
                  <c:v>MAX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10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rot="0" vert="wordArtVert"/>
              <a:lstStyle/>
              <a:p>
                <a:pPr algn="ctr"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SerName val="1"/>
          </c:dLbls>
          <c:xVal>
            <c:numRef>
              <c:f>Turbines_JT60SA!$F$41</c:f>
              <c:numCache>
                <c:formatCode>0.00%</c:formatCode>
                <c:ptCount val="1"/>
                <c:pt idx="0">
                  <c:v>0</c:v>
                </c:pt>
              </c:numCache>
            </c:numRef>
          </c:xVal>
          <c:yVal>
            <c:numRef>
              <c:f>Turbines_JT60SA!$F$42</c:f>
              <c:numCache>
                <c:formatCode>0.00%</c:formatCode>
                <c:ptCount val="1"/>
                <c:pt idx="0">
                  <c:v>0</c:v>
                </c:pt>
              </c:numCache>
            </c:numRef>
          </c:yVal>
        </c:ser>
        <c:ser>
          <c:idx val="3"/>
          <c:order val="2"/>
          <c:tx>
            <c:strRef>
              <c:f>Turbines_JT60SA!$G$47</c:f>
              <c:strCache>
                <c:ptCount val="1"/>
                <c:pt idx="0">
                  <c:v>MIN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10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rot="0" vert="wordArtVert"/>
              <a:lstStyle/>
              <a:p>
                <a:pPr algn="ctr"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SerName val="1"/>
          </c:dLbls>
          <c:xVal>
            <c:numRef>
              <c:f>Turbines_JT60SA!$G$41</c:f>
              <c:numCache>
                <c:formatCode>0.00%</c:formatCode>
                <c:ptCount val="1"/>
                <c:pt idx="0">
                  <c:v>0</c:v>
                </c:pt>
              </c:numCache>
            </c:numRef>
          </c:xVal>
          <c:yVal>
            <c:numRef>
              <c:f>Turbines_JT60SA!$G$42</c:f>
              <c:numCache>
                <c:formatCode>0.00%</c:formatCode>
                <c:ptCount val="1"/>
                <c:pt idx="0">
                  <c:v>0</c:v>
                </c:pt>
              </c:numCache>
            </c:numRef>
          </c:yVal>
        </c:ser>
        <c:ser>
          <c:idx val="4"/>
          <c:order val="3"/>
          <c:tx>
            <c:strRef>
              <c:f>Turbines_JT60SA!$H$47</c:f>
              <c:strCache>
                <c:ptCount val="1"/>
                <c:pt idx="0">
                  <c:v>STS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10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rot="0" vert="wordArtVert"/>
              <a:lstStyle/>
              <a:p>
                <a:pPr algn="ctr"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SerName val="1"/>
          </c:dLbls>
          <c:xVal>
            <c:numRef>
              <c:f>Turbines_JT60SA!$H$41</c:f>
              <c:numCache>
                <c:formatCode>0.00%</c:formatCode>
                <c:ptCount val="1"/>
                <c:pt idx="0">
                  <c:v>0</c:v>
                </c:pt>
              </c:numCache>
            </c:numRef>
          </c:xVal>
          <c:yVal>
            <c:numRef>
              <c:f>Turbines_JT60SA!$H$42</c:f>
              <c:numCache>
                <c:formatCode>0.00%</c:formatCode>
                <c:ptCount val="1"/>
                <c:pt idx="0">
                  <c:v>0</c:v>
                </c:pt>
              </c:numCache>
            </c:numRef>
          </c:yVal>
        </c:ser>
        <c:ser>
          <c:idx val="5"/>
          <c:order val="4"/>
          <c:tx>
            <c:strRef>
              <c:f>Turbines_JT60SA!$I$12</c:f>
              <c:strCache>
                <c:ptCount val="1"/>
                <c:pt idx="0">
                  <c:v>BAKING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10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rot="0" vert="wordArtVert"/>
              <a:lstStyle/>
              <a:p>
                <a:pPr algn="ctr"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SerName val="1"/>
          </c:dLbls>
          <c:xVal>
            <c:numRef>
              <c:f>Turbines_JT60SA!$I$41</c:f>
              <c:numCache>
                <c:formatCode>0.00%</c:formatCode>
                <c:ptCount val="1"/>
                <c:pt idx="0">
                  <c:v>0</c:v>
                </c:pt>
              </c:numCache>
            </c:numRef>
          </c:xVal>
          <c:yVal>
            <c:numRef>
              <c:f>Turbines_JT60SA!$I$42</c:f>
              <c:numCache>
                <c:formatCode>0.00%</c:formatCode>
                <c:ptCount val="1"/>
                <c:pt idx="0">
                  <c:v>0</c:v>
                </c:pt>
              </c:numCache>
            </c:numRef>
          </c:yVal>
        </c:ser>
        <c:axId val="354594816"/>
        <c:axId val="354596736"/>
      </c:scatterChart>
      <c:valAx>
        <c:axId val="354594816"/>
        <c:scaling>
          <c:orientation val="minMax"/>
          <c:max val="1.7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U1/C0 / U1/C0 nom</a:t>
                </a:r>
              </a:p>
            </c:rich>
          </c:tx>
          <c:layout>
            <c:manualLayout>
              <c:xMode val="edge"/>
              <c:yMode val="edge"/>
              <c:x val="0.42097092323553448"/>
              <c:y val="0.9055690072639225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54596736"/>
        <c:crosses val="autoZero"/>
        <c:crossBetween val="midCat"/>
      </c:valAx>
      <c:valAx>
        <c:axId val="3545967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Rendement</a:t>
                </a:r>
              </a:p>
            </c:rich>
          </c:tx>
          <c:layout>
            <c:manualLayout>
              <c:xMode val="edge"/>
              <c:yMode val="edge"/>
              <c:x val="2.5039123630672927E-2"/>
              <c:y val="0.358353510895883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54594816"/>
        <c:crosses val="autoZero"/>
        <c:crossBetween val="midCat"/>
        <c:minorUnit val="0.1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17127071823204421"/>
          <c:y val="8.012845593091425E-2"/>
          <c:w val="0.76519337016574585"/>
          <c:h val="0.71795096514099166"/>
        </c:manualLayout>
      </c:layout>
      <c:scatterChart>
        <c:scatterStyle val="smoothMarker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Turbines!$B$51:$B$81</c:f>
              <c:numCache>
                <c:formatCode>General</c:formatCode>
                <c:ptCount val="3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  <c:pt idx="21">
                  <c:v>1.0500000000000003</c:v>
                </c:pt>
                <c:pt idx="22">
                  <c:v>1.1000000000000003</c:v>
                </c:pt>
                <c:pt idx="23">
                  <c:v>1.1500000000000004</c:v>
                </c:pt>
                <c:pt idx="24">
                  <c:v>1.2000000000000004</c:v>
                </c:pt>
                <c:pt idx="25">
                  <c:v>1.2500000000000004</c:v>
                </c:pt>
                <c:pt idx="26">
                  <c:v>1.3000000000000005</c:v>
                </c:pt>
                <c:pt idx="27">
                  <c:v>1.3500000000000005</c:v>
                </c:pt>
                <c:pt idx="28">
                  <c:v>1.4000000000000006</c:v>
                </c:pt>
                <c:pt idx="29">
                  <c:v>1.4500000000000006</c:v>
                </c:pt>
                <c:pt idx="30">
                  <c:v>1.5000000000000007</c:v>
                </c:pt>
              </c:numCache>
            </c:numRef>
          </c:xVal>
          <c:yVal>
            <c:numRef>
              <c:f>Turbines!$C$51:$C$81</c:f>
              <c:numCache>
                <c:formatCode>0.00%</c:formatCode>
                <c:ptCount val="31"/>
                <c:pt idx="0" formatCode="General">
                  <c:v>0</c:v>
                </c:pt>
                <c:pt idx="1">
                  <c:v>3.7793842502552556E-2</c:v>
                </c:pt>
                <c:pt idx="2">
                  <c:v>7.964314803197059E-2</c:v>
                </c:pt>
                <c:pt idx="3">
                  <c:v>0.12469554087690531</c:v>
                </c:pt>
                <c:pt idx="4">
                  <c:v>0.17213480159998779</c:v>
                </c:pt>
                <c:pt idx="5">
                  <c:v>0.22118086703782905</c:v>
                </c:pt>
                <c:pt idx="6">
                  <c:v>0.27108983030102002</c:v>
                </c:pt>
                <c:pt idx="7">
                  <c:v>0.32115394077413151</c:v>
                </c:pt>
                <c:pt idx="8">
                  <c:v>0.37070160411571434</c:v>
                </c:pt>
                <c:pt idx="9">
                  <c:v>0.41909738225829907</c:v>
                </c:pt>
                <c:pt idx="10">
                  <c:v>0.46574199340839634</c:v>
                </c:pt>
                <c:pt idx="11">
                  <c:v>0.5100723120464965</c:v>
                </c:pt>
                <c:pt idx="12">
                  <c:v>0.55156136892707008</c:v>
                </c:pt>
                <c:pt idx="13">
                  <c:v>0.58971835107856729</c:v>
                </c:pt>
                <c:pt idx="14">
                  <c:v>0.62408860180341841</c:v>
                </c:pt>
                <c:pt idx="15">
                  <c:v>0.65425362067803339</c:v>
                </c:pt>
                <c:pt idx="16">
                  <c:v>0.67983106355280232</c:v>
                </c:pt>
                <c:pt idx="17">
                  <c:v>0.70047474255209508</c:v>
                </c:pt>
                <c:pt idx="18">
                  <c:v>0.71587462607426167</c:v>
                </c:pt>
                <c:pt idx="19">
                  <c:v>0.72575683879163178</c:v>
                </c:pt>
                <c:pt idx="20">
                  <c:v>0.7298836616505151</c:v>
                </c:pt>
                <c:pt idx="21">
                  <c:v>0.72805353187120092</c:v>
                </c:pt>
                <c:pt idx="22">
                  <c:v>0.72010104294795907</c:v>
                </c:pt>
                <c:pt idx="23">
                  <c:v>0.70589694464903885</c:v>
                </c:pt>
                <c:pt idx="24">
                  <c:v>0.68534814301666902</c:v>
                </c:pt>
                <c:pt idx="25">
                  <c:v>0.6583977003670598</c:v>
                </c:pt>
                <c:pt idx="26">
                  <c:v>0.62502483529039965</c:v>
                </c:pt>
                <c:pt idx="27">
                  <c:v>0.58524492265085759</c:v>
                </c:pt>
                <c:pt idx="28">
                  <c:v>0.53910949358658278</c:v>
                </c:pt>
                <c:pt idx="29">
                  <c:v>0.48670623550970399</c:v>
                </c:pt>
                <c:pt idx="30">
                  <c:v>0.42815899210633013</c:v>
                </c:pt>
              </c:numCache>
            </c:numRef>
          </c:yVal>
          <c:smooth val="1"/>
        </c:ser>
        <c:ser>
          <c:idx val="1"/>
          <c:order val="1"/>
          <c:spPr>
            <a:ln w="28575">
              <a:noFill/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Turbines!$F$29</c:f>
              <c:numCache>
                <c:formatCode>0.00%</c:formatCode>
                <c:ptCount val="1"/>
                <c:pt idx="0">
                  <c:v>0.85299608000592964</c:v>
                </c:pt>
              </c:numCache>
            </c:numRef>
          </c:xVal>
          <c:yVal>
            <c:numRef>
              <c:f>Turbines!$F$30</c:f>
              <c:numCache>
                <c:formatCode>0.00%</c:formatCode>
                <c:ptCount val="1"/>
                <c:pt idx="0">
                  <c:v>0.70310666559867141</c:v>
                </c:pt>
              </c:numCache>
            </c:numRef>
          </c:yVal>
          <c:smooth val="1"/>
        </c:ser>
        <c:axId val="320544768"/>
        <c:axId val="320546688"/>
      </c:scatterChart>
      <c:valAx>
        <c:axId val="320544768"/>
        <c:scaling>
          <c:orientation val="minMax"/>
          <c:max val="1.5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U1/C0 / U1/C0 nom</a:t>
                </a:r>
              </a:p>
            </c:rich>
          </c:tx>
          <c:layout>
            <c:manualLayout>
              <c:xMode val="edge"/>
              <c:yMode val="edge"/>
              <c:x val="0.4143646408839779"/>
              <c:y val="0.8846181534772933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20546688"/>
        <c:crosses val="autoZero"/>
        <c:crossBetween val="midCat"/>
      </c:valAx>
      <c:valAx>
        <c:axId val="3205466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Rendement</a:t>
                </a:r>
              </a:p>
            </c:rich>
          </c:tx>
          <c:layout>
            <c:manualLayout>
              <c:xMode val="edge"/>
              <c:yMode val="edge"/>
              <c:x val="4.4198895027624308E-2"/>
              <c:y val="0.3301292384353666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2054476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14285728521333427"/>
          <c:y val="7.8125E-2"/>
          <c:w val="0.71836806278705234"/>
          <c:h val="0.72812500000000002"/>
        </c:manualLayout>
      </c:layout>
      <c:scatterChart>
        <c:scatterStyle val="smoothMarker"/>
        <c:ser>
          <c:idx val="0"/>
          <c:order val="0"/>
          <c:tx>
            <c:strRef>
              <c:f>'Turbine Réguléé à 2205 Hz'!$L$24</c:f>
              <c:strCache>
                <c:ptCount val="1"/>
                <c:pt idx="0">
                  <c:v>Vitesse 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'Turbine Réguléé à 2205 Hz'!$C$25:$C$47</c:f>
              <c:numCache>
                <c:formatCode>General</c:formatCode>
                <c:ptCount val="23"/>
                <c:pt idx="0">
                  <c:v>300</c:v>
                </c:pt>
                <c:pt idx="1">
                  <c:v>299</c:v>
                </c:pt>
                <c:pt idx="2">
                  <c:v>298</c:v>
                </c:pt>
                <c:pt idx="3">
                  <c:v>297</c:v>
                </c:pt>
                <c:pt idx="4">
                  <c:v>296</c:v>
                </c:pt>
                <c:pt idx="5">
                  <c:v>295</c:v>
                </c:pt>
                <c:pt idx="6">
                  <c:v>294</c:v>
                </c:pt>
                <c:pt idx="7">
                  <c:v>293</c:v>
                </c:pt>
                <c:pt idx="8">
                  <c:v>292</c:v>
                </c:pt>
                <c:pt idx="9">
                  <c:v>291</c:v>
                </c:pt>
                <c:pt idx="10">
                  <c:v>290</c:v>
                </c:pt>
                <c:pt idx="11">
                  <c:v>289</c:v>
                </c:pt>
                <c:pt idx="12">
                  <c:v>18.399999999999999</c:v>
                </c:pt>
                <c:pt idx="13">
                  <c:v>18</c:v>
                </c:pt>
                <c:pt idx="14">
                  <c:v>17.5</c:v>
                </c:pt>
                <c:pt idx="15">
                  <c:v>17</c:v>
                </c:pt>
                <c:pt idx="16">
                  <c:v>16.5</c:v>
                </c:pt>
                <c:pt idx="17">
                  <c:v>16</c:v>
                </c:pt>
                <c:pt idx="18">
                  <c:v>15.5</c:v>
                </c:pt>
                <c:pt idx="19">
                  <c:v>15</c:v>
                </c:pt>
                <c:pt idx="20">
                  <c:v>14.5</c:v>
                </c:pt>
                <c:pt idx="21">
                  <c:v>14</c:v>
                </c:pt>
                <c:pt idx="22">
                  <c:v>13.5</c:v>
                </c:pt>
              </c:numCache>
            </c:numRef>
          </c:xVal>
          <c:yVal>
            <c:numRef>
              <c:f>'Turbine Réguléé à 2205 Hz'!$L$25:$L$47</c:f>
              <c:numCache>
                <c:formatCode>0.0</c:formatCode>
                <c:ptCount val="23"/>
                <c:pt idx="0">
                  <c:v>-11.693047790265668</c:v>
                </c:pt>
                <c:pt idx="1">
                  <c:v>-11.895561915012832</c:v>
                </c:pt>
                <c:pt idx="2">
                  <c:v>-12.098061519642515</c:v>
                </c:pt>
                <c:pt idx="3">
                  <c:v>-12.302427067563265</c:v>
                </c:pt>
                <c:pt idx="4">
                  <c:v>-12.510686832638262</c:v>
                </c:pt>
                <c:pt idx="5">
                  <c:v>-12.725021677830929</c:v>
                </c:pt>
                <c:pt idx="6">
                  <c:v>-12.947768737260693</c:v>
                </c:pt>
                <c:pt idx="7">
                  <c:v>-13.181424992504677</c:v>
                </c:pt>
                <c:pt idx="8">
                  <c:v>-13.428653779907044</c:v>
                </c:pt>
                <c:pt idx="9">
                  <c:v>-13.692302066883611</c:v>
                </c:pt>
                <c:pt idx="10">
                  <c:v>-13.975446982276189</c:v>
                </c:pt>
                <c:pt idx="11">
                  <c:v>-14.281519314934291</c:v>
                </c:pt>
                <c:pt idx="12">
                  <c:v>2204.0116104256967</c:v>
                </c:pt>
                <c:pt idx="13">
                  <c:v>2191.5953830198569</c:v>
                </c:pt>
                <c:pt idx="14">
                  <c:v>2175.4004492615563</c:v>
                </c:pt>
                <c:pt idx="15">
                  <c:v>2158.4211040328005</c:v>
                </c:pt>
                <c:pt idx="16">
                  <c:v>2140.6143411198109</c:v>
                </c:pt>
                <c:pt idx="17">
                  <c:v>2121.9267340496335</c:v>
                </c:pt>
                <c:pt idx="18">
                  <c:v>2102.2878539661897</c:v>
                </c:pt>
                <c:pt idx="19">
                  <c:v>2081.600882460993</c:v>
                </c:pt>
                <c:pt idx="20">
                  <c:v>2059.729456596795</c:v>
                </c:pt>
                <c:pt idx="21">
                  <c:v>2036.4795505030752</c:v>
                </c:pt>
                <c:pt idx="22">
                  <c:v>2011.5749345562435</c:v>
                </c:pt>
              </c:numCache>
            </c:numRef>
          </c:yVal>
          <c:smooth val="1"/>
        </c:ser>
        <c:axId val="324417024"/>
        <c:axId val="324418944"/>
      </c:scatterChart>
      <c:scatterChart>
        <c:scatterStyle val="lineMarker"/>
        <c:ser>
          <c:idx val="1"/>
          <c:order val="1"/>
          <c:tx>
            <c:strRef>
              <c:f>'Turbine Réguléé à 2205 Hz'!$M$24</c:f>
              <c:strCache>
                <c:ptCount val="1"/>
                <c:pt idx="0">
                  <c:v>T outlet 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'Turbine Réguléé à 2205 Hz'!$C$25:$C$47</c:f>
              <c:numCache>
                <c:formatCode>General</c:formatCode>
                <c:ptCount val="23"/>
                <c:pt idx="0">
                  <c:v>300</c:v>
                </c:pt>
                <c:pt idx="1">
                  <c:v>299</c:v>
                </c:pt>
                <c:pt idx="2">
                  <c:v>298</c:v>
                </c:pt>
                <c:pt idx="3">
                  <c:v>297</c:v>
                </c:pt>
                <c:pt idx="4">
                  <c:v>296</c:v>
                </c:pt>
                <c:pt idx="5">
                  <c:v>295</c:v>
                </c:pt>
                <c:pt idx="6">
                  <c:v>294</c:v>
                </c:pt>
                <c:pt idx="7">
                  <c:v>293</c:v>
                </c:pt>
                <c:pt idx="8">
                  <c:v>292</c:v>
                </c:pt>
                <c:pt idx="9">
                  <c:v>291</c:v>
                </c:pt>
                <c:pt idx="10">
                  <c:v>290</c:v>
                </c:pt>
                <c:pt idx="11">
                  <c:v>289</c:v>
                </c:pt>
                <c:pt idx="12">
                  <c:v>18.399999999999999</c:v>
                </c:pt>
                <c:pt idx="13">
                  <c:v>18</c:v>
                </c:pt>
                <c:pt idx="14">
                  <c:v>17.5</c:v>
                </c:pt>
                <c:pt idx="15">
                  <c:v>17</c:v>
                </c:pt>
                <c:pt idx="16">
                  <c:v>16.5</c:v>
                </c:pt>
                <c:pt idx="17">
                  <c:v>16</c:v>
                </c:pt>
                <c:pt idx="18">
                  <c:v>15.5</c:v>
                </c:pt>
                <c:pt idx="19">
                  <c:v>15</c:v>
                </c:pt>
                <c:pt idx="20">
                  <c:v>14.5</c:v>
                </c:pt>
                <c:pt idx="21">
                  <c:v>14</c:v>
                </c:pt>
                <c:pt idx="22">
                  <c:v>13.5</c:v>
                </c:pt>
              </c:numCache>
            </c:numRef>
          </c:xVal>
          <c:yVal>
            <c:numRef>
              <c:f>'Turbine Réguléé à 2205 Hz'!$M$25:$M$47</c:f>
              <c:numCache>
                <c:formatCode>0.00</c:formatCode>
                <c:ptCount val="23"/>
                <c:pt idx="0">
                  <c:v>210.19897104201448</c:v>
                </c:pt>
                <c:pt idx="1">
                  <c:v>209.4986257587945</c:v>
                </c:pt>
                <c:pt idx="2">
                  <c:v>208.79827406083962</c:v>
                </c:pt>
                <c:pt idx="3">
                  <c:v>208.09792006806873</c:v>
                </c:pt>
                <c:pt idx="4">
                  <c:v>207.39756807737365</c:v>
                </c:pt>
                <c:pt idx="5">
                  <c:v>206.69722256089273</c:v>
                </c:pt>
                <c:pt idx="6">
                  <c:v>205.99688816150308</c:v>
                </c:pt>
                <c:pt idx="7">
                  <c:v>205.29656968771977</c:v>
                </c:pt>
                <c:pt idx="8">
                  <c:v>204.59627211427278</c:v>
                </c:pt>
                <c:pt idx="9">
                  <c:v>203.89600060402893</c:v>
                </c:pt>
                <c:pt idx="10">
                  <c:v>203.19576058741859</c:v>
                </c:pt>
                <c:pt idx="11">
                  <c:v>202.49555799170025</c:v>
                </c:pt>
                <c:pt idx="12">
                  <c:v>9.1296011203252547</c:v>
                </c:pt>
                <c:pt idx="13">
                  <c:v>8.9248180072740162</c:v>
                </c:pt>
                <c:pt idx="14">
                  <c:v>8.6702320955393652</c:v>
                </c:pt>
                <c:pt idx="15">
                  <c:v>8.417198916693506</c:v>
                </c:pt>
                <c:pt idx="16">
                  <c:v>8.1657439322561576</c:v>
                </c:pt>
                <c:pt idx="17">
                  <c:v>7.9159151680028845</c:v>
                </c:pt>
                <c:pt idx="18">
                  <c:v>7.6677811085781453</c:v>
                </c:pt>
                <c:pt idx="19">
                  <c:v>7.4214224766675319</c:v>
                </c:pt>
                <c:pt idx="20">
                  <c:v>7.1769142408681734</c:v>
                </c:pt>
                <c:pt idx="21">
                  <c:v>6.9342929054385269</c:v>
                </c:pt>
                <c:pt idx="22">
                  <c:v>6.693502993614473</c:v>
                </c:pt>
              </c:numCache>
            </c:numRef>
          </c:yVal>
          <c:smooth val="1"/>
        </c:ser>
        <c:axId val="324425216"/>
        <c:axId val="324426752"/>
      </c:scatterChart>
      <c:valAx>
        <c:axId val="324417024"/>
        <c:scaling>
          <c:orientation val="minMax"/>
          <c:min val="10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 inlet (K)</a:t>
                </a:r>
              </a:p>
            </c:rich>
          </c:tx>
          <c:layout>
            <c:manualLayout>
              <c:xMode val="edge"/>
              <c:yMode val="edge"/>
              <c:x val="0.44489840252152674"/>
              <c:y val="0.89062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24418944"/>
        <c:crosses val="autoZero"/>
        <c:crossBetween val="midCat"/>
      </c:valAx>
      <c:valAx>
        <c:axId val="324418944"/>
        <c:scaling>
          <c:orientation val="minMax"/>
          <c:min val="20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Vitesse (Hz)</a:t>
                </a:r>
              </a:p>
            </c:rich>
          </c:tx>
          <c:layout>
            <c:manualLayout>
              <c:xMode val="edge"/>
              <c:yMode val="edge"/>
              <c:x val="3.0612275402857346E-2"/>
              <c:y val="0.33124999999999999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24417024"/>
        <c:crosses val="autoZero"/>
        <c:crossBetween val="midCat"/>
      </c:valAx>
      <c:valAx>
        <c:axId val="324425216"/>
        <c:scaling>
          <c:orientation val="minMax"/>
        </c:scaling>
        <c:delete val="1"/>
        <c:axPos val="b"/>
        <c:numFmt formatCode="General" sourceLinked="1"/>
        <c:tickLblPos val="none"/>
        <c:crossAx val="324426752"/>
        <c:crosses val="autoZero"/>
        <c:crossBetween val="midCat"/>
      </c:valAx>
      <c:valAx>
        <c:axId val="324426752"/>
        <c:scaling>
          <c:orientation val="minMax"/>
        </c:scaling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 outlet (K)</a:t>
                </a:r>
              </a:p>
            </c:rich>
          </c:tx>
          <c:layout>
            <c:manualLayout>
              <c:xMode val="edge"/>
              <c:yMode val="edge"/>
              <c:x val="0.91836826208572031"/>
              <c:y val="0.34062500000000001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24425216"/>
        <c:crosses val="max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979610749771553"/>
          <c:y val="9.6875000000000003E-2"/>
          <c:w val="0.1591838320948582"/>
          <c:h val="0.12187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" r="0.75" t="1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1425661914460285"/>
          <c:y val="7.7881856873834435E-2"/>
          <c:w val="0.71283095723014256"/>
          <c:h val="0.72897418033909034"/>
        </c:manualLayout>
      </c:layout>
      <c:scatterChart>
        <c:scatterStyle val="smoothMarker"/>
        <c:ser>
          <c:idx val="0"/>
          <c:order val="0"/>
          <c:tx>
            <c:strRef>
              <c:f>'Turbine Réguléé à 2205 Hz'!$L$24</c:f>
              <c:strCache>
                <c:ptCount val="1"/>
                <c:pt idx="0">
                  <c:v>Vitesse 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'Turbine Réguléé à 2205 Hz'!$C$25:$C$47</c:f>
              <c:numCache>
                <c:formatCode>General</c:formatCode>
                <c:ptCount val="23"/>
                <c:pt idx="0">
                  <c:v>300</c:v>
                </c:pt>
                <c:pt idx="1">
                  <c:v>299</c:v>
                </c:pt>
                <c:pt idx="2">
                  <c:v>298</c:v>
                </c:pt>
                <c:pt idx="3">
                  <c:v>297</c:v>
                </c:pt>
                <c:pt idx="4">
                  <c:v>296</c:v>
                </c:pt>
                <c:pt idx="5">
                  <c:v>295</c:v>
                </c:pt>
                <c:pt idx="6">
                  <c:v>294</c:v>
                </c:pt>
                <c:pt idx="7">
                  <c:v>293</c:v>
                </c:pt>
                <c:pt idx="8">
                  <c:v>292</c:v>
                </c:pt>
                <c:pt idx="9">
                  <c:v>291</c:v>
                </c:pt>
                <c:pt idx="10">
                  <c:v>290</c:v>
                </c:pt>
                <c:pt idx="11">
                  <c:v>289</c:v>
                </c:pt>
                <c:pt idx="12">
                  <c:v>18.399999999999999</c:v>
                </c:pt>
                <c:pt idx="13">
                  <c:v>18</c:v>
                </c:pt>
                <c:pt idx="14">
                  <c:v>17.5</c:v>
                </c:pt>
                <c:pt idx="15">
                  <c:v>17</c:v>
                </c:pt>
                <c:pt idx="16">
                  <c:v>16.5</c:v>
                </c:pt>
                <c:pt idx="17">
                  <c:v>16</c:v>
                </c:pt>
                <c:pt idx="18">
                  <c:v>15.5</c:v>
                </c:pt>
                <c:pt idx="19">
                  <c:v>15</c:v>
                </c:pt>
                <c:pt idx="20">
                  <c:v>14.5</c:v>
                </c:pt>
                <c:pt idx="21">
                  <c:v>14</c:v>
                </c:pt>
                <c:pt idx="22">
                  <c:v>13.5</c:v>
                </c:pt>
              </c:numCache>
            </c:numRef>
          </c:xVal>
          <c:yVal>
            <c:numRef>
              <c:f>'Turbine Réguléé à 2205 Hz'!$L$25:$L$47</c:f>
              <c:numCache>
                <c:formatCode>0.0</c:formatCode>
                <c:ptCount val="23"/>
                <c:pt idx="0">
                  <c:v>-11.693047790265668</c:v>
                </c:pt>
                <c:pt idx="1">
                  <c:v>-11.895561915012832</c:v>
                </c:pt>
                <c:pt idx="2">
                  <c:v>-12.098061519642515</c:v>
                </c:pt>
                <c:pt idx="3">
                  <c:v>-12.302427067563265</c:v>
                </c:pt>
                <c:pt idx="4">
                  <c:v>-12.510686832638262</c:v>
                </c:pt>
                <c:pt idx="5">
                  <c:v>-12.725021677830929</c:v>
                </c:pt>
                <c:pt idx="6">
                  <c:v>-12.947768737260693</c:v>
                </c:pt>
                <c:pt idx="7">
                  <c:v>-13.181424992504677</c:v>
                </c:pt>
                <c:pt idx="8">
                  <c:v>-13.428653779907044</c:v>
                </c:pt>
                <c:pt idx="9">
                  <c:v>-13.692302066883611</c:v>
                </c:pt>
                <c:pt idx="10">
                  <c:v>-13.975446982276189</c:v>
                </c:pt>
                <c:pt idx="11">
                  <c:v>-14.281519314934291</c:v>
                </c:pt>
                <c:pt idx="12">
                  <c:v>2204.0116104256967</c:v>
                </c:pt>
                <c:pt idx="13">
                  <c:v>2191.5953830198569</c:v>
                </c:pt>
                <c:pt idx="14">
                  <c:v>2175.4004492615563</c:v>
                </c:pt>
                <c:pt idx="15">
                  <c:v>2158.4211040328005</c:v>
                </c:pt>
                <c:pt idx="16">
                  <c:v>2140.6143411198109</c:v>
                </c:pt>
                <c:pt idx="17">
                  <c:v>2121.9267340496335</c:v>
                </c:pt>
                <c:pt idx="18">
                  <c:v>2102.2878539661897</c:v>
                </c:pt>
                <c:pt idx="19">
                  <c:v>2081.600882460993</c:v>
                </c:pt>
                <c:pt idx="20">
                  <c:v>2059.729456596795</c:v>
                </c:pt>
                <c:pt idx="21">
                  <c:v>2036.4795505030752</c:v>
                </c:pt>
                <c:pt idx="22">
                  <c:v>2011.5749345562435</c:v>
                </c:pt>
              </c:numCache>
            </c:numRef>
          </c:yVal>
          <c:smooth val="1"/>
        </c:ser>
        <c:axId val="324469504"/>
        <c:axId val="324471424"/>
      </c:scatterChart>
      <c:scatterChart>
        <c:scatterStyle val="lineMarker"/>
        <c:ser>
          <c:idx val="1"/>
          <c:order val="1"/>
          <c:tx>
            <c:strRef>
              <c:f>'Turbine Réguléé à 2205 Hz'!$J$24</c:f>
              <c:strCache>
                <c:ptCount val="1"/>
                <c:pt idx="0">
                  <c:v>Rndt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'Turbine Réguléé à 2205 Hz'!$C$25:$C$47</c:f>
              <c:numCache>
                <c:formatCode>General</c:formatCode>
                <c:ptCount val="23"/>
                <c:pt idx="0">
                  <c:v>300</c:v>
                </c:pt>
                <c:pt idx="1">
                  <c:v>299</c:v>
                </c:pt>
                <c:pt idx="2">
                  <c:v>298</c:v>
                </c:pt>
                <c:pt idx="3">
                  <c:v>297</c:v>
                </c:pt>
                <c:pt idx="4">
                  <c:v>296</c:v>
                </c:pt>
                <c:pt idx="5">
                  <c:v>295</c:v>
                </c:pt>
                <c:pt idx="6">
                  <c:v>294</c:v>
                </c:pt>
                <c:pt idx="7">
                  <c:v>293</c:v>
                </c:pt>
                <c:pt idx="8">
                  <c:v>292</c:v>
                </c:pt>
                <c:pt idx="9">
                  <c:v>291</c:v>
                </c:pt>
                <c:pt idx="10">
                  <c:v>290</c:v>
                </c:pt>
                <c:pt idx="11">
                  <c:v>289</c:v>
                </c:pt>
                <c:pt idx="12">
                  <c:v>18.399999999999999</c:v>
                </c:pt>
                <c:pt idx="13">
                  <c:v>18</c:v>
                </c:pt>
                <c:pt idx="14">
                  <c:v>17.5</c:v>
                </c:pt>
                <c:pt idx="15">
                  <c:v>17</c:v>
                </c:pt>
                <c:pt idx="16">
                  <c:v>16.5</c:v>
                </c:pt>
                <c:pt idx="17">
                  <c:v>16</c:v>
                </c:pt>
                <c:pt idx="18">
                  <c:v>15.5</c:v>
                </c:pt>
                <c:pt idx="19">
                  <c:v>15</c:v>
                </c:pt>
                <c:pt idx="20">
                  <c:v>14.5</c:v>
                </c:pt>
                <c:pt idx="21">
                  <c:v>14</c:v>
                </c:pt>
                <c:pt idx="22">
                  <c:v>13.5</c:v>
                </c:pt>
              </c:numCache>
            </c:numRef>
          </c:xVal>
          <c:yVal>
            <c:numRef>
              <c:f>'Turbine Réguléé à 2205 Hz'!$J$25:$J$47</c:f>
              <c:numCache>
                <c:formatCode>0.00</c:formatCode>
                <c:ptCount val="23"/>
                <c:pt idx="0">
                  <c:v>45.169624717526119</c:v>
                </c:pt>
                <c:pt idx="1">
                  <c:v>45.169578943647103</c:v>
                </c:pt>
                <c:pt idx="2">
                  <c:v>45.169533025375962</c:v>
                </c:pt>
                <c:pt idx="3">
                  <c:v>45.169486573319105</c:v>
                </c:pt>
                <c:pt idx="4">
                  <c:v>45.169439165390074</c:v>
                </c:pt>
                <c:pt idx="5">
                  <c:v>45.169390345599673</c:v>
                </c:pt>
                <c:pt idx="6">
                  <c:v>45.169339623079324</c:v>
                </c:pt>
                <c:pt idx="7">
                  <c:v>45.169286471137944</c:v>
                </c:pt>
                <c:pt idx="8">
                  <c:v>45.169230325725877</c:v>
                </c:pt>
                <c:pt idx="9">
                  <c:v>45.169170581674081</c:v>
                </c:pt>
                <c:pt idx="10">
                  <c:v>45.169106582842211</c:v>
                </c:pt>
                <c:pt idx="11">
                  <c:v>45.169037596174867</c:v>
                </c:pt>
                <c:pt idx="12">
                  <c:v>73.552473384083996</c:v>
                </c:pt>
                <c:pt idx="13">
                  <c:v>73.488825506621566</c:v>
                </c:pt>
                <c:pt idx="14">
                  <c:v>73.390925715558495</c:v>
                </c:pt>
                <c:pt idx="15">
                  <c:v>73.271095109858038</c:v>
                </c:pt>
                <c:pt idx="16">
                  <c:v>73.127419174878554</c:v>
                </c:pt>
                <c:pt idx="17">
                  <c:v>72.957714527834767</c:v>
                </c:pt>
                <c:pt idx="18">
                  <c:v>72.759570442874818</c:v>
                </c:pt>
                <c:pt idx="19">
                  <c:v>72.53047647873646</c:v>
                </c:pt>
                <c:pt idx="20">
                  <c:v>72.268096028487946</c:v>
                </c:pt>
                <c:pt idx="21">
                  <c:v>71.970775641415059</c:v>
                </c:pt>
                <c:pt idx="22">
                  <c:v>71.638419419948008</c:v>
                </c:pt>
              </c:numCache>
            </c:numRef>
          </c:yVal>
          <c:smooth val="1"/>
        </c:ser>
        <c:axId val="324481792"/>
        <c:axId val="324483328"/>
      </c:scatterChart>
      <c:valAx>
        <c:axId val="324469504"/>
        <c:scaling>
          <c:orientation val="minMax"/>
          <c:min val="10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 inlet (K)</a:t>
                </a:r>
              </a:p>
            </c:rich>
          </c:tx>
          <c:layout>
            <c:manualLayout>
              <c:xMode val="edge"/>
              <c:yMode val="edge"/>
              <c:x val="0.44195519348268841"/>
              <c:y val="0.8909684426366659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24471424"/>
        <c:crosses val="autoZero"/>
        <c:crossBetween val="midCat"/>
      </c:valAx>
      <c:valAx>
        <c:axId val="324471424"/>
        <c:scaling>
          <c:orientation val="minMax"/>
          <c:min val="20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Vitesse (Hz)</a:t>
                </a:r>
              </a:p>
            </c:rich>
          </c:tx>
          <c:layout>
            <c:manualLayout>
              <c:xMode val="edge"/>
              <c:yMode val="edge"/>
              <c:x val="3.0549898167006109E-2"/>
              <c:y val="0.33333434742001139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24469504"/>
        <c:crosses val="autoZero"/>
        <c:crossBetween val="midCat"/>
      </c:valAx>
      <c:valAx>
        <c:axId val="324481792"/>
        <c:scaling>
          <c:orientation val="minMax"/>
        </c:scaling>
        <c:delete val="1"/>
        <c:axPos val="b"/>
        <c:numFmt formatCode="General" sourceLinked="1"/>
        <c:tickLblPos val="none"/>
        <c:crossAx val="324483328"/>
        <c:crosses val="autoZero"/>
        <c:crossBetween val="midCat"/>
      </c:valAx>
      <c:valAx>
        <c:axId val="324483328"/>
        <c:scaling>
          <c:orientation val="minMax"/>
        </c:scaling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Rndt (%)</a:t>
                </a:r>
              </a:p>
            </c:rich>
          </c:tx>
          <c:layout>
            <c:manualLayout>
              <c:xMode val="edge"/>
              <c:yMode val="edge"/>
              <c:x val="0.91853360488798375"/>
              <c:y val="0.36760236444449851"/>
            </c:manualLayout>
          </c:layout>
          <c:spPr>
            <a:noFill/>
            <a:ln w="25400">
              <a:noFill/>
            </a:ln>
          </c:spPr>
        </c:title>
        <c:numFmt formatCode="0.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24481792"/>
        <c:crosses val="max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5274949083503056"/>
          <c:y val="5.2959662674207417E-2"/>
          <c:w val="0.15885947046843177"/>
          <c:h val="0.1214956967231817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" r="0.75" t="1" header="0.4921259845" footer="0.492125984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14227670516685953"/>
          <c:y val="7.763986928600132E-2"/>
          <c:w val="0.71341605019382426"/>
          <c:h val="0.72981477128841243"/>
        </c:manualLayout>
      </c:layout>
      <c:scatterChart>
        <c:scatterStyle val="smoothMarker"/>
        <c:ser>
          <c:idx val="0"/>
          <c:order val="0"/>
          <c:tx>
            <c:strRef>
              <c:f>'Turbine Réguléé à 2205 Hz'!$L$24</c:f>
              <c:strCache>
                <c:ptCount val="1"/>
                <c:pt idx="0">
                  <c:v>Vitesse 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'Turbine Réguléé à 2205 Hz'!$C$25:$C$47</c:f>
              <c:numCache>
                <c:formatCode>General</c:formatCode>
                <c:ptCount val="23"/>
                <c:pt idx="0">
                  <c:v>300</c:v>
                </c:pt>
                <c:pt idx="1">
                  <c:v>299</c:v>
                </c:pt>
                <c:pt idx="2">
                  <c:v>298</c:v>
                </c:pt>
                <c:pt idx="3">
                  <c:v>297</c:v>
                </c:pt>
                <c:pt idx="4">
                  <c:v>296</c:v>
                </c:pt>
                <c:pt idx="5">
                  <c:v>295</c:v>
                </c:pt>
                <c:pt idx="6">
                  <c:v>294</c:v>
                </c:pt>
                <c:pt idx="7">
                  <c:v>293</c:v>
                </c:pt>
                <c:pt idx="8">
                  <c:v>292</c:v>
                </c:pt>
                <c:pt idx="9">
                  <c:v>291</c:v>
                </c:pt>
                <c:pt idx="10">
                  <c:v>290</c:v>
                </c:pt>
                <c:pt idx="11">
                  <c:v>289</c:v>
                </c:pt>
                <c:pt idx="12">
                  <c:v>18.399999999999999</c:v>
                </c:pt>
                <c:pt idx="13">
                  <c:v>18</c:v>
                </c:pt>
                <c:pt idx="14">
                  <c:v>17.5</c:v>
                </c:pt>
                <c:pt idx="15">
                  <c:v>17</c:v>
                </c:pt>
                <c:pt idx="16">
                  <c:v>16.5</c:v>
                </c:pt>
                <c:pt idx="17">
                  <c:v>16</c:v>
                </c:pt>
                <c:pt idx="18">
                  <c:v>15.5</c:v>
                </c:pt>
                <c:pt idx="19">
                  <c:v>15</c:v>
                </c:pt>
                <c:pt idx="20">
                  <c:v>14.5</c:v>
                </c:pt>
                <c:pt idx="21">
                  <c:v>14</c:v>
                </c:pt>
                <c:pt idx="22">
                  <c:v>13.5</c:v>
                </c:pt>
              </c:numCache>
            </c:numRef>
          </c:xVal>
          <c:yVal>
            <c:numRef>
              <c:f>'Turbine Réguléé à 2205 Hz'!$L$25:$L$47</c:f>
              <c:numCache>
                <c:formatCode>0.0</c:formatCode>
                <c:ptCount val="23"/>
                <c:pt idx="0">
                  <c:v>-11.693047790265668</c:v>
                </c:pt>
                <c:pt idx="1">
                  <c:v>-11.895561915012832</c:v>
                </c:pt>
                <c:pt idx="2">
                  <c:v>-12.098061519642515</c:v>
                </c:pt>
                <c:pt idx="3">
                  <c:v>-12.302427067563265</c:v>
                </c:pt>
                <c:pt idx="4">
                  <c:v>-12.510686832638262</c:v>
                </c:pt>
                <c:pt idx="5">
                  <c:v>-12.725021677830929</c:v>
                </c:pt>
                <c:pt idx="6">
                  <c:v>-12.947768737260693</c:v>
                </c:pt>
                <c:pt idx="7">
                  <c:v>-13.181424992504677</c:v>
                </c:pt>
                <c:pt idx="8">
                  <c:v>-13.428653779907044</c:v>
                </c:pt>
                <c:pt idx="9">
                  <c:v>-13.692302066883611</c:v>
                </c:pt>
                <c:pt idx="10">
                  <c:v>-13.975446982276189</c:v>
                </c:pt>
                <c:pt idx="11">
                  <c:v>-14.281519314934291</c:v>
                </c:pt>
                <c:pt idx="12">
                  <c:v>2204.0116104256967</c:v>
                </c:pt>
                <c:pt idx="13">
                  <c:v>2191.5953830198569</c:v>
                </c:pt>
                <c:pt idx="14">
                  <c:v>2175.4004492615563</c:v>
                </c:pt>
                <c:pt idx="15">
                  <c:v>2158.4211040328005</c:v>
                </c:pt>
                <c:pt idx="16">
                  <c:v>2140.6143411198109</c:v>
                </c:pt>
                <c:pt idx="17">
                  <c:v>2121.9267340496335</c:v>
                </c:pt>
                <c:pt idx="18">
                  <c:v>2102.2878539661897</c:v>
                </c:pt>
                <c:pt idx="19">
                  <c:v>2081.600882460993</c:v>
                </c:pt>
                <c:pt idx="20">
                  <c:v>2059.729456596795</c:v>
                </c:pt>
                <c:pt idx="21">
                  <c:v>2036.4795505030752</c:v>
                </c:pt>
                <c:pt idx="22">
                  <c:v>2011.5749345562435</c:v>
                </c:pt>
              </c:numCache>
            </c:numRef>
          </c:yVal>
          <c:smooth val="1"/>
        </c:ser>
        <c:axId val="324522368"/>
        <c:axId val="324524288"/>
      </c:scatterChart>
      <c:scatterChart>
        <c:scatterStyle val="lineMarker"/>
        <c:ser>
          <c:idx val="1"/>
          <c:order val="1"/>
          <c:tx>
            <c:strRef>
              <c:f>'Turbine Réguléé à 2205 Hz'!$D$24</c:f>
              <c:strCache>
                <c:ptCount val="1"/>
                <c:pt idx="0">
                  <c:v>Pression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'Turbine Réguléé à 2205 Hz'!$C$25:$C$47</c:f>
              <c:numCache>
                <c:formatCode>General</c:formatCode>
                <c:ptCount val="23"/>
                <c:pt idx="0">
                  <c:v>300</c:v>
                </c:pt>
                <c:pt idx="1">
                  <c:v>299</c:v>
                </c:pt>
                <c:pt idx="2">
                  <c:v>298</c:v>
                </c:pt>
                <c:pt idx="3">
                  <c:v>297</c:v>
                </c:pt>
                <c:pt idx="4">
                  <c:v>296</c:v>
                </c:pt>
                <c:pt idx="5">
                  <c:v>295</c:v>
                </c:pt>
                <c:pt idx="6">
                  <c:v>294</c:v>
                </c:pt>
                <c:pt idx="7">
                  <c:v>293</c:v>
                </c:pt>
                <c:pt idx="8">
                  <c:v>292</c:v>
                </c:pt>
                <c:pt idx="9">
                  <c:v>291</c:v>
                </c:pt>
                <c:pt idx="10">
                  <c:v>290</c:v>
                </c:pt>
                <c:pt idx="11">
                  <c:v>289</c:v>
                </c:pt>
                <c:pt idx="12">
                  <c:v>18.399999999999999</c:v>
                </c:pt>
                <c:pt idx="13">
                  <c:v>18</c:v>
                </c:pt>
                <c:pt idx="14">
                  <c:v>17.5</c:v>
                </c:pt>
                <c:pt idx="15">
                  <c:v>17</c:v>
                </c:pt>
                <c:pt idx="16">
                  <c:v>16.5</c:v>
                </c:pt>
                <c:pt idx="17">
                  <c:v>16</c:v>
                </c:pt>
                <c:pt idx="18">
                  <c:v>15.5</c:v>
                </c:pt>
                <c:pt idx="19">
                  <c:v>15</c:v>
                </c:pt>
                <c:pt idx="20">
                  <c:v>14.5</c:v>
                </c:pt>
                <c:pt idx="21">
                  <c:v>14</c:v>
                </c:pt>
                <c:pt idx="22">
                  <c:v>13.5</c:v>
                </c:pt>
              </c:numCache>
            </c:numRef>
          </c:xVal>
          <c:yVal>
            <c:numRef>
              <c:f>'Turbine Réguléé à 2205 Hz'!$D$25:$D$47</c:f>
              <c:numCache>
                <c:formatCode>0.00</c:formatCode>
                <c:ptCount val="23"/>
                <c:pt idx="0">
                  <c:v>14.430759882979357</c:v>
                </c:pt>
                <c:pt idx="1">
                  <c:v>14.544852569053996</c:v>
                </c:pt>
                <c:pt idx="2">
                  <c:v>14.655058059616071</c:v>
                </c:pt>
                <c:pt idx="3">
                  <c:v>14.763676969561578</c:v>
                </c:pt>
                <c:pt idx="4">
                  <c:v>14.873101620957407</c:v>
                </c:pt>
                <c:pt idx="5">
                  <c:v>14.985814613994446</c:v>
                </c:pt>
                <c:pt idx="6">
                  <c:v>15.104385955218516</c:v>
                </c:pt>
                <c:pt idx="7">
                  <c:v>15.231469985475488</c:v>
                </c:pt>
                <c:pt idx="8">
                  <c:v>15.369805610081299</c:v>
                </c:pt>
                <c:pt idx="9">
                  <c:v>15.5222285289473</c:v>
                </c:pt>
                <c:pt idx="10">
                  <c:v>15.691715484272706</c:v>
                </c:pt>
                <c:pt idx="11">
                  <c:v>15.881511584256959</c:v>
                </c:pt>
                <c:pt idx="12" formatCode="General">
                  <c:v>16</c:v>
                </c:pt>
                <c:pt idx="13" formatCode="General">
                  <c:v>16</c:v>
                </c:pt>
                <c:pt idx="14" formatCode="General">
                  <c:v>16</c:v>
                </c:pt>
                <c:pt idx="15" formatCode="General">
                  <c:v>16</c:v>
                </c:pt>
                <c:pt idx="16" formatCode="General">
                  <c:v>16</c:v>
                </c:pt>
                <c:pt idx="17" formatCode="General">
                  <c:v>16</c:v>
                </c:pt>
                <c:pt idx="18" formatCode="General">
                  <c:v>16</c:v>
                </c:pt>
                <c:pt idx="19" formatCode="General">
                  <c:v>16</c:v>
                </c:pt>
                <c:pt idx="20" formatCode="General">
                  <c:v>16</c:v>
                </c:pt>
                <c:pt idx="21" formatCode="General">
                  <c:v>16</c:v>
                </c:pt>
                <c:pt idx="22" formatCode="General">
                  <c:v>16</c:v>
                </c:pt>
              </c:numCache>
            </c:numRef>
          </c:yVal>
          <c:smooth val="1"/>
        </c:ser>
        <c:axId val="324534656"/>
        <c:axId val="324536192"/>
      </c:scatterChart>
      <c:valAx>
        <c:axId val="324522368"/>
        <c:scaling>
          <c:orientation val="minMax"/>
          <c:min val="10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 inlet (K)</a:t>
                </a:r>
              </a:p>
            </c:rich>
          </c:tx>
          <c:layout>
            <c:manualLayout>
              <c:xMode val="edge"/>
              <c:yMode val="edge"/>
              <c:x val="0.44105778601726453"/>
              <c:y val="0.8913056994032951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24524288"/>
        <c:crosses val="autoZero"/>
        <c:crossBetween val="midCat"/>
      </c:valAx>
      <c:valAx>
        <c:axId val="324524288"/>
        <c:scaling>
          <c:orientation val="minMax"/>
          <c:min val="20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Vitesse (Hz)</a:t>
                </a:r>
              </a:p>
            </c:rich>
          </c:tx>
          <c:layout>
            <c:manualLayout>
              <c:xMode val="edge"/>
              <c:yMode val="edge"/>
              <c:x val="3.048786539289847E-2"/>
              <c:y val="0.33229864054408564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24522368"/>
        <c:crosses val="autoZero"/>
        <c:crossBetween val="midCat"/>
      </c:valAx>
      <c:valAx>
        <c:axId val="324534656"/>
        <c:scaling>
          <c:orientation val="minMax"/>
        </c:scaling>
        <c:delete val="1"/>
        <c:axPos val="b"/>
        <c:numFmt formatCode="General" sourceLinked="1"/>
        <c:tickLblPos val="none"/>
        <c:crossAx val="324536192"/>
        <c:crosses val="autoZero"/>
        <c:crossBetween val="midCat"/>
      </c:valAx>
      <c:valAx>
        <c:axId val="324536192"/>
        <c:scaling>
          <c:orientation val="minMax"/>
        </c:scaling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Pression (bars)</a:t>
                </a:r>
              </a:p>
            </c:rich>
          </c:tx>
          <c:layout>
            <c:manualLayout>
              <c:xMode val="edge"/>
              <c:yMode val="edge"/>
              <c:x val="0.91870101050600728"/>
              <c:y val="0.30124269282968513"/>
            </c:manualLayout>
          </c:layout>
          <c:spPr>
            <a:noFill/>
            <a:ln w="25400">
              <a:noFill/>
            </a:ln>
          </c:spPr>
        </c:title>
        <c:numFmt formatCode="0.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24534656"/>
        <c:crosses val="max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3447312165175"/>
          <c:y val="0.18633568628640318"/>
          <c:w val="0.16260194876212519"/>
          <c:h val="0.1211181960861620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" r="0.75" t="1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image" Target="../media/image18.emf"/><Relationship Id="rId7" Type="http://schemas.openxmlformats.org/officeDocument/2006/relationships/chart" Target="../charts/chart8.xml"/><Relationship Id="rId2" Type="http://schemas.openxmlformats.org/officeDocument/2006/relationships/image" Target="../media/image17.emf"/><Relationship Id="rId1" Type="http://schemas.openxmlformats.org/officeDocument/2006/relationships/image" Target="../media/image16.emf"/><Relationship Id="rId6" Type="http://schemas.openxmlformats.org/officeDocument/2006/relationships/chart" Target="../charts/chart7.xml"/><Relationship Id="rId5" Type="http://schemas.openxmlformats.org/officeDocument/2006/relationships/image" Target="../media/image20.emf"/><Relationship Id="rId4" Type="http://schemas.openxmlformats.org/officeDocument/2006/relationships/image" Target="../media/image19.emf"/><Relationship Id="rId9" Type="http://schemas.openxmlformats.org/officeDocument/2006/relationships/image" Target="../media/image21.e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image" Target="../media/image18.emf"/><Relationship Id="rId7" Type="http://schemas.openxmlformats.org/officeDocument/2006/relationships/chart" Target="../charts/chart11.xml"/><Relationship Id="rId2" Type="http://schemas.openxmlformats.org/officeDocument/2006/relationships/image" Target="../media/image17.emf"/><Relationship Id="rId1" Type="http://schemas.openxmlformats.org/officeDocument/2006/relationships/image" Target="../media/image16.emf"/><Relationship Id="rId6" Type="http://schemas.openxmlformats.org/officeDocument/2006/relationships/chart" Target="../charts/chart10.xml"/><Relationship Id="rId5" Type="http://schemas.openxmlformats.org/officeDocument/2006/relationships/image" Target="../media/image20.emf"/><Relationship Id="rId4" Type="http://schemas.openxmlformats.org/officeDocument/2006/relationships/image" Target="../media/image19.emf"/><Relationship Id="rId9" Type="http://schemas.openxmlformats.org/officeDocument/2006/relationships/image" Target="../media/image2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12.emf"/><Relationship Id="rId3" Type="http://schemas.openxmlformats.org/officeDocument/2006/relationships/image" Target="../media/image8.emf"/><Relationship Id="rId7" Type="http://schemas.openxmlformats.org/officeDocument/2006/relationships/image" Target="../media/image11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6" Type="http://schemas.openxmlformats.org/officeDocument/2006/relationships/image" Target="../media/image10.emf"/><Relationship Id="rId11" Type="http://schemas.openxmlformats.org/officeDocument/2006/relationships/image" Target="../media/image15.emf"/><Relationship Id="rId5" Type="http://schemas.openxmlformats.org/officeDocument/2006/relationships/image" Target="../media/image9.emf"/><Relationship Id="rId10" Type="http://schemas.openxmlformats.org/officeDocument/2006/relationships/image" Target="../media/image14.emf"/><Relationship Id="rId4" Type="http://schemas.openxmlformats.org/officeDocument/2006/relationships/image" Target="../media/image3.emf"/><Relationship Id="rId9" Type="http://schemas.openxmlformats.org/officeDocument/2006/relationships/image" Target="../media/image1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752475</xdr:colOff>
      <xdr:row>31</xdr:row>
      <xdr:rowOff>0</xdr:rowOff>
    </xdr:from>
    <xdr:to>
      <xdr:col>11</xdr:col>
      <xdr:colOff>704850</xdr:colOff>
      <xdr:row>31</xdr:row>
      <xdr:rowOff>0</xdr:rowOff>
    </xdr:to>
    <xdr:sp macro="" textlink="">
      <xdr:nvSpPr>
        <xdr:cNvPr id="53274" name="Text Box 26"/>
        <xdr:cNvSpPr txBox="1">
          <a:spLocks noChangeArrowheads="1"/>
        </xdr:cNvSpPr>
      </xdr:nvSpPr>
      <xdr:spPr bwMode="auto">
        <a:xfrm>
          <a:off x="9715500" y="5029200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cas design</a:t>
          </a:r>
        </a:p>
      </xdr:txBody>
    </xdr:sp>
    <xdr:clientData/>
  </xdr:twoCellAnchor>
  <xdr:twoCellAnchor>
    <xdr:from>
      <xdr:col>1</xdr:col>
      <xdr:colOff>219075</xdr:colOff>
      <xdr:row>120</xdr:row>
      <xdr:rowOff>0</xdr:rowOff>
    </xdr:from>
    <xdr:to>
      <xdr:col>2</xdr:col>
      <xdr:colOff>752475</xdr:colOff>
      <xdr:row>122</xdr:row>
      <xdr:rowOff>9525</xdr:rowOff>
    </xdr:to>
    <xdr:pic>
      <xdr:nvPicPr>
        <xdr:cNvPr id="90114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1075" y="19469100"/>
          <a:ext cx="12477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1</xdr:col>
      <xdr:colOff>285750</xdr:colOff>
      <xdr:row>116</xdr:row>
      <xdr:rowOff>133350</xdr:rowOff>
    </xdr:from>
    <xdr:to>
      <xdr:col>2</xdr:col>
      <xdr:colOff>819150</xdr:colOff>
      <xdr:row>118</xdr:row>
      <xdr:rowOff>142875</xdr:rowOff>
    </xdr:to>
    <xdr:pic>
      <xdr:nvPicPr>
        <xdr:cNvPr id="90115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47750" y="18954750"/>
          <a:ext cx="12477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10</xdr:col>
      <xdr:colOff>752475</xdr:colOff>
      <xdr:row>77</xdr:row>
      <xdr:rowOff>0</xdr:rowOff>
    </xdr:from>
    <xdr:to>
      <xdr:col>11</xdr:col>
      <xdr:colOff>704850</xdr:colOff>
      <xdr:row>77</xdr:row>
      <xdr:rowOff>0</xdr:rowOff>
    </xdr:to>
    <xdr:sp macro="" textlink="">
      <xdr:nvSpPr>
        <xdr:cNvPr id="53347" name="Text Box 99"/>
        <xdr:cNvSpPr txBox="1">
          <a:spLocks noChangeArrowheads="1"/>
        </xdr:cNvSpPr>
      </xdr:nvSpPr>
      <xdr:spPr bwMode="auto">
        <a:xfrm>
          <a:off x="9715500" y="1248727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cas design</a:t>
          </a:r>
        </a:p>
      </xdr:txBody>
    </xdr:sp>
    <xdr:clientData/>
  </xdr:twoCellAnchor>
  <xdr:twoCellAnchor>
    <xdr:from>
      <xdr:col>7</xdr:col>
      <xdr:colOff>276225</xdr:colOff>
      <xdr:row>77</xdr:row>
      <xdr:rowOff>0</xdr:rowOff>
    </xdr:from>
    <xdr:to>
      <xdr:col>11</xdr:col>
      <xdr:colOff>676275</xdr:colOff>
      <xdr:row>77</xdr:row>
      <xdr:rowOff>0</xdr:rowOff>
    </xdr:to>
    <xdr:graphicFrame macro="">
      <xdr:nvGraphicFramePr>
        <xdr:cNvPr id="90117" name="Chart 1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752475</xdr:colOff>
      <xdr:row>77</xdr:row>
      <xdr:rowOff>0</xdr:rowOff>
    </xdr:from>
    <xdr:to>
      <xdr:col>11</xdr:col>
      <xdr:colOff>704850</xdr:colOff>
      <xdr:row>77</xdr:row>
      <xdr:rowOff>0</xdr:rowOff>
    </xdr:to>
    <xdr:sp macro="" textlink="">
      <xdr:nvSpPr>
        <xdr:cNvPr id="53349" name="Text Box 101"/>
        <xdr:cNvSpPr txBox="1">
          <a:spLocks noChangeArrowheads="1"/>
        </xdr:cNvSpPr>
      </xdr:nvSpPr>
      <xdr:spPr bwMode="auto">
        <a:xfrm>
          <a:off x="9715500" y="1248727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cas design</a:t>
          </a:r>
        </a:p>
      </xdr:txBody>
    </xdr:sp>
    <xdr:clientData/>
  </xdr:twoCellAnchor>
  <xdr:twoCellAnchor>
    <xdr:from>
      <xdr:col>7</xdr:col>
      <xdr:colOff>276225</xdr:colOff>
      <xdr:row>77</xdr:row>
      <xdr:rowOff>0</xdr:rowOff>
    </xdr:from>
    <xdr:to>
      <xdr:col>11</xdr:col>
      <xdr:colOff>676275</xdr:colOff>
      <xdr:row>77</xdr:row>
      <xdr:rowOff>0</xdr:rowOff>
    </xdr:to>
    <xdr:graphicFrame macro="">
      <xdr:nvGraphicFramePr>
        <xdr:cNvPr id="90119" name="Chart 1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752475</xdr:colOff>
      <xdr:row>66</xdr:row>
      <xdr:rowOff>0</xdr:rowOff>
    </xdr:from>
    <xdr:to>
      <xdr:col>11</xdr:col>
      <xdr:colOff>704850</xdr:colOff>
      <xdr:row>66</xdr:row>
      <xdr:rowOff>0</xdr:rowOff>
    </xdr:to>
    <xdr:sp macro="" textlink="">
      <xdr:nvSpPr>
        <xdr:cNvPr id="53353" name="Text Box 105"/>
        <xdr:cNvSpPr txBox="1">
          <a:spLocks noChangeArrowheads="1"/>
        </xdr:cNvSpPr>
      </xdr:nvSpPr>
      <xdr:spPr bwMode="auto">
        <a:xfrm>
          <a:off x="9715500" y="10706100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cas design</a:t>
          </a:r>
        </a:p>
      </xdr:txBody>
    </xdr:sp>
    <xdr:clientData/>
  </xdr:twoCellAnchor>
  <xdr:twoCellAnchor>
    <xdr:from>
      <xdr:col>10</xdr:col>
      <xdr:colOff>752475</xdr:colOff>
      <xdr:row>100</xdr:row>
      <xdr:rowOff>0</xdr:rowOff>
    </xdr:from>
    <xdr:to>
      <xdr:col>11</xdr:col>
      <xdr:colOff>704850</xdr:colOff>
      <xdr:row>100</xdr:row>
      <xdr:rowOff>0</xdr:rowOff>
    </xdr:to>
    <xdr:sp macro="" textlink="">
      <xdr:nvSpPr>
        <xdr:cNvPr id="53355" name="Text Box 107"/>
        <xdr:cNvSpPr txBox="1">
          <a:spLocks noChangeArrowheads="1"/>
        </xdr:cNvSpPr>
      </xdr:nvSpPr>
      <xdr:spPr bwMode="auto">
        <a:xfrm>
          <a:off x="9715500" y="1622107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cas design</a:t>
          </a:r>
        </a:p>
      </xdr:txBody>
    </xdr:sp>
    <xdr:clientData/>
  </xdr:twoCellAnchor>
  <xdr:twoCellAnchor>
    <xdr:from>
      <xdr:col>9</xdr:col>
      <xdr:colOff>485775</xdr:colOff>
      <xdr:row>78</xdr:row>
      <xdr:rowOff>123825</xdr:rowOff>
    </xdr:from>
    <xdr:to>
      <xdr:col>14</xdr:col>
      <xdr:colOff>676275</xdr:colOff>
      <xdr:row>104</xdr:row>
      <xdr:rowOff>9525</xdr:rowOff>
    </xdr:to>
    <xdr:graphicFrame macro="">
      <xdr:nvGraphicFramePr>
        <xdr:cNvPr id="90122" name="Chart 1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676275</xdr:colOff>
      <xdr:row>45</xdr:row>
      <xdr:rowOff>19050</xdr:rowOff>
    </xdr:from>
    <xdr:to>
      <xdr:col>15</xdr:col>
      <xdr:colOff>247650</xdr:colOff>
      <xdr:row>70</xdr:row>
      <xdr:rowOff>85725</xdr:rowOff>
    </xdr:to>
    <xdr:graphicFrame macro="">
      <xdr:nvGraphicFramePr>
        <xdr:cNvPr id="90123" name="Chart 1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495300</xdr:colOff>
      <xdr:row>9</xdr:row>
      <xdr:rowOff>152400</xdr:rowOff>
    </xdr:from>
    <xdr:to>
      <xdr:col>15</xdr:col>
      <xdr:colOff>457200</xdr:colOff>
      <xdr:row>34</xdr:row>
      <xdr:rowOff>28575</xdr:rowOff>
    </xdr:to>
    <xdr:graphicFrame macro="">
      <xdr:nvGraphicFramePr>
        <xdr:cNvPr id="90124" name="Chart 1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752475</xdr:colOff>
      <xdr:row>111</xdr:row>
      <xdr:rowOff>0</xdr:rowOff>
    </xdr:from>
    <xdr:to>
      <xdr:col>11</xdr:col>
      <xdr:colOff>704850</xdr:colOff>
      <xdr:row>111</xdr:row>
      <xdr:rowOff>0</xdr:rowOff>
    </xdr:to>
    <xdr:sp macro="" textlink="">
      <xdr:nvSpPr>
        <xdr:cNvPr id="53404" name="Text Box 156"/>
        <xdr:cNvSpPr txBox="1">
          <a:spLocks noChangeArrowheads="1"/>
        </xdr:cNvSpPr>
      </xdr:nvSpPr>
      <xdr:spPr bwMode="auto">
        <a:xfrm>
          <a:off x="9715500" y="18002250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cas design</a:t>
          </a:r>
        </a:p>
      </xdr:txBody>
    </xdr:sp>
    <xdr:clientData/>
  </xdr:twoCellAnchor>
  <xdr:twoCellAnchor>
    <xdr:from>
      <xdr:col>10</xdr:col>
      <xdr:colOff>752475</xdr:colOff>
      <xdr:row>111</xdr:row>
      <xdr:rowOff>0</xdr:rowOff>
    </xdr:from>
    <xdr:to>
      <xdr:col>11</xdr:col>
      <xdr:colOff>704850</xdr:colOff>
      <xdr:row>111</xdr:row>
      <xdr:rowOff>0</xdr:rowOff>
    </xdr:to>
    <xdr:sp macro="" textlink="">
      <xdr:nvSpPr>
        <xdr:cNvPr id="53405" name="Text Box 157"/>
        <xdr:cNvSpPr txBox="1">
          <a:spLocks noChangeArrowheads="1"/>
        </xdr:cNvSpPr>
      </xdr:nvSpPr>
      <xdr:spPr bwMode="auto">
        <a:xfrm>
          <a:off x="9715500" y="18002250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cas design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92</xdr:row>
      <xdr:rowOff>76200</xdr:rowOff>
    </xdr:from>
    <xdr:to>
      <xdr:col>10</xdr:col>
      <xdr:colOff>238125</xdr:colOff>
      <xdr:row>98</xdr:row>
      <xdr:rowOff>114300</xdr:rowOff>
    </xdr:to>
    <xdr:cxnSp macro="">
      <xdr:nvCxnSpPr>
        <xdr:cNvPr id="53250" name="AutoShape 2"/>
        <xdr:cNvCxnSpPr>
          <a:cxnSpLocks noChangeShapeType="1"/>
        </xdr:cNvCxnSpPr>
      </xdr:nvCxnSpPr>
      <xdr:spPr bwMode="auto">
        <a:xfrm flipV="1">
          <a:off x="6343650" y="13677900"/>
          <a:ext cx="17049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8</xdr:col>
      <xdr:colOff>666750</xdr:colOff>
      <xdr:row>96</xdr:row>
      <xdr:rowOff>28575</xdr:rowOff>
    </xdr:from>
    <xdr:to>
      <xdr:col>11</xdr:col>
      <xdr:colOff>85725</xdr:colOff>
      <xdr:row>103</xdr:row>
      <xdr:rowOff>66675</xdr:rowOff>
    </xdr:to>
    <xdr:cxnSp macro="">
      <xdr:nvCxnSpPr>
        <xdr:cNvPr id="53251" name="AutoShape 3"/>
        <xdr:cNvCxnSpPr>
          <a:cxnSpLocks noChangeShapeType="1"/>
        </xdr:cNvCxnSpPr>
      </xdr:nvCxnSpPr>
      <xdr:spPr bwMode="auto">
        <a:xfrm flipV="1">
          <a:off x="6953250" y="13677900"/>
          <a:ext cx="17049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7</xdr:col>
      <xdr:colOff>400050</xdr:colOff>
      <xdr:row>91</xdr:row>
      <xdr:rowOff>66675</xdr:rowOff>
    </xdr:from>
    <xdr:to>
      <xdr:col>7</xdr:col>
      <xdr:colOff>400050</xdr:colOff>
      <xdr:row>105</xdr:row>
      <xdr:rowOff>104775</xdr:rowOff>
    </xdr:to>
    <xdr:cxnSp macro="">
      <xdr:nvCxnSpPr>
        <xdr:cNvPr id="53252" name="AutoShape 4"/>
        <xdr:cNvCxnSpPr>
          <a:cxnSpLocks noChangeShapeType="1"/>
        </xdr:cNvCxnSpPr>
      </xdr:nvCxnSpPr>
      <xdr:spPr bwMode="auto">
        <a:xfrm flipV="1">
          <a:off x="5924550" y="136779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7</xdr:col>
      <xdr:colOff>390525</xdr:colOff>
      <xdr:row>105</xdr:row>
      <xdr:rowOff>104775</xdr:rowOff>
    </xdr:from>
    <xdr:to>
      <xdr:col>11</xdr:col>
      <xdr:colOff>590550</xdr:colOff>
      <xdr:row>105</xdr:row>
      <xdr:rowOff>104775</xdr:rowOff>
    </xdr:to>
    <xdr:cxnSp macro="">
      <xdr:nvCxnSpPr>
        <xdr:cNvPr id="53253" name="AutoShape 5"/>
        <xdr:cNvCxnSpPr>
          <a:cxnSpLocks noChangeShapeType="1"/>
        </xdr:cNvCxnSpPr>
      </xdr:nvCxnSpPr>
      <xdr:spPr bwMode="auto">
        <a:xfrm>
          <a:off x="5915025" y="13677900"/>
          <a:ext cx="324802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8</xdr:col>
      <xdr:colOff>619125</xdr:colOff>
      <xdr:row>94</xdr:row>
      <xdr:rowOff>38100</xdr:rowOff>
    </xdr:from>
    <xdr:to>
      <xdr:col>9</xdr:col>
      <xdr:colOff>104775</xdr:colOff>
      <xdr:row>96</xdr:row>
      <xdr:rowOff>0</xdr:rowOff>
    </xdr:to>
    <xdr:sp macro="" textlink="">
      <xdr:nvSpPr>
        <xdr:cNvPr id="53254" name="Rectangle 6"/>
        <xdr:cNvSpPr>
          <a:spLocks noChangeArrowheads="1"/>
        </xdr:cNvSpPr>
      </xdr:nvSpPr>
      <xdr:spPr bwMode="auto">
        <a:xfrm>
          <a:off x="6905625" y="13677900"/>
          <a:ext cx="247650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9</xdr:col>
      <xdr:colOff>352425</xdr:colOff>
      <xdr:row>101</xdr:row>
      <xdr:rowOff>0</xdr:rowOff>
    </xdr:from>
    <xdr:to>
      <xdr:col>9</xdr:col>
      <xdr:colOff>600075</xdr:colOff>
      <xdr:row>102</xdr:row>
      <xdr:rowOff>76200</xdr:rowOff>
    </xdr:to>
    <xdr:sp macro="" textlink="">
      <xdr:nvSpPr>
        <xdr:cNvPr id="53255" name="Rectangle 7"/>
        <xdr:cNvSpPr>
          <a:spLocks noChangeArrowheads="1"/>
        </xdr:cNvSpPr>
      </xdr:nvSpPr>
      <xdr:spPr bwMode="auto">
        <a:xfrm>
          <a:off x="7400925" y="13677900"/>
          <a:ext cx="247650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8</xdr:col>
      <xdr:colOff>619125</xdr:colOff>
      <xdr:row>103</xdr:row>
      <xdr:rowOff>9525</xdr:rowOff>
    </xdr:from>
    <xdr:to>
      <xdr:col>9</xdr:col>
      <xdr:colOff>104775</xdr:colOff>
      <xdr:row>104</xdr:row>
      <xdr:rowOff>123825</xdr:rowOff>
    </xdr:to>
    <xdr:sp macro="" textlink="">
      <xdr:nvSpPr>
        <xdr:cNvPr id="53256" name="Rectangle 8"/>
        <xdr:cNvSpPr>
          <a:spLocks noChangeArrowheads="1"/>
        </xdr:cNvSpPr>
      </xdr:nvSpPr>
      <xdr:spPr bwMode="auto">
        <a:xfrm>
          <a:off x="6905625" y="13677900"/>
          <a:ext cx="247650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8</xdr:col>
      <xdr:colOff>742950</xdr:colOff>
      <xdr:row>96</xdr:row>
      <xdr:rowOff>0</xdr:rowOff>
    </xdr:from>
    <xdr:to>
      <xdr:col>8</xdr:col>
      <xdr:colOff>742950</xdr:colOff>
      <xdr:row>103</xdr:row>
      <xdr:rowOff>9525</xdr:rowOff>
    </xdr:to>
    <xdr:cxnSp macro="">
      <xdr:nvCxnSpPr>
        <xdr:cNvPr id="53257" name="AutoShape 9"/>
        <xdr:cNvCxnSpPr>
          <a:cxnSpLocks noChangeShapeType="1"/>
          <a:stCxn id="53254" idx="2"/>
          <a:endCxn id="53256" idx="0"/>
        </xdr:cNvCxnSpPr>
      </xdr:nvCxnSpPr>
      <xdr:spPr bwMode="auto">
        <a:xfrm>
          <a:off x="7029450" y="136779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8</xdr:col>
      <xdr:colOff>742950</xdr:colOff>
      <xdr:row>96</xdr:row>
      <xdr:rowOff>0</xdr:rowOff>
    </xdr:from>
    <xdr:to>
      <xdr:col>9</xdr:col>
      <xdr:colOff>476250</xdr:colOff>
      <xdr:row>101</xdr:row>
      <xdr:rowOff>0</xdr:rowOff>
    </xdr:to>
    <xdr:cxnSp macro="">
      <xdr:nvCxnSpPr>
        <xdr:cNvPr id="53258" name="AutoShape 10"/>
        <xdr:cNvCxnSpPr>
          <a:cxnSpLocks noChangeShapeType="1"/>
          <a:stCxn id="53254" idx="2"/>
          <a:endCxn id="53255" idx="0"/>
        </xdr:cNvCxnSpPr>
      </xdr:nvCxnSpPr>
      <xdr:spPr bwMode="auto">
        <a:xfrm>
          <a:off x="7029450" y="13677900"/>
          <a:ext cx="49530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200025</xdr:colOff>
      <xdr:row>91</xdr:row>
      <xdr:rowOff>47625</xdr:rowOff>
    </xdr:from>
    <xdr:to>
      <xdr:col>10</xdr:col>
      <xdr:colOff>457200</xdr:colOff>
      <xdr:row>92</xdr:row>
      <xdr:rowOff>57150</xdr:rowOff>
    </xdr:to>
    <xdr:sp macro="" textlink="">
      <xdr:nvSpPr>
        <xdr:cNvPr id="53259" name="Text Box 11"/>
        <xdr:cNvSpPr txBox="1">
          <a:spLocks noChangeArrowheads="1"/>
        </xdr:cNvSpPr>
      </xdr:nvSpPr>
      <xdr:spPr bwMode="auto">
        <a:xfrm>
          <a:off x="8010525" y="1367790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HP</a:t>
          </a:r>
        </a:p>
      </xdr:txBody>
    </xdr:sp>
    <xdr:clientData/>
  </xdr:twoCellAnchor>
  <xdr:twoCellAnchor>
    <xdr:from>
      <xdr:col>10</xdr:col>
      <xdr:colOff>695325</xdr:colOff>
      <xdr:row>96</xdr:row>
      <xdr:rowOff>142875</xdr:rowOff>
    </xdr:from>
    <xdr:to>
      <xdr:col>11</xdr:col>
      <xdr:colOff>190500</xdr:colOff>
      <xdr:row>97</xdr:row>
      <xdr:rowOff>152400</xdr:rowOff>
    </xdr:to>
    <xdr:sp macro="" textlink="">
      <xdr:nvSpPr>
        <xdr:cNvPr id="53260" name="Text Box 12"/>
        <xdr:cNvSpPr txBox="1">
          <a:spLocks noChangeArrowheads="1"/>
        </xdr:cNvSpPr>
      </xdr:nvSpPr>
      <xdr:spPr bwMode="auto">
        <a:xfrm>
          <a:off x="8505825" y="1367790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LP</a:t>
          </a:r>
        </a:p>
      </xdr:txBody>
    </xdr:sp>
    <xdr:clientData/>
  </xdr:twoCellAnchor>
  <xdr:twoCellAnchor>
    <xdr:from>
      <xdr:col>11</xdr:col>
      <xdr:colOff>400050</xdr:colOff>
      <xdr:row>106</xdr:row>
      <xdr:rowOff>0</xdr:rowOff>
    </xdr:from>
    <xdr:to>
      <xdr:col>11</xdr:col>
      <xdr:colOff>657225</xdr:colOff>
      <xdr:row>107</xdr:row>
      <xdr:rowOff>9525</xdr:rowOff>
    </xdr:to>
    <xdr:sp macro="" textlink="">
      <xdr:nvSpPr>
        <xdr:cNvPr id="53261" name="Text Box 13"/>
        <xdr:cNvSpPr txBox="1">
          <a:spLocks noChangeArrowheads="1"/>
        </xdr:cNvSpPr>
      </xdr:nvSpPr>
      <xdr:spPr bwMode="auto">
        <a:xfrm>
          <a:off x="8972550" y="1367790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</a:t>
          </a:r>
        </a:p>
      </xdr:txBody>
    </xdr:sp>
    <xdr:clientData/>
  </xdr:twoCellAnchor>
  <xdr:twoCellAnchor>
    <xdr:from>
      <xdr:col>7</xdr:col>
      <xdr:colOff>180975</xdr:colOff>
      <xdr:row>90</xdr:row>
      <xdr:rowOff>28575</xdr:rowOff>
    </xdr:from>
    <xdr:to>
      <xdr:col>7</xdr:col>
      <xdr:colOff>438150</xdr:colOff>
      <xdr:row>91</xdr:row>
      <xdr:rowOff>38100</xdr:rowOff>
    </xdr:to>
    <xdr:sp macro="" textlink="">
      <xdr:nvSpPr>
        <xdr:cNvPr id="53262" name="Text Box 14"/>
        <xdr:cNvSpPr txBox="1">
          <a:spLocks noChangeArrowheads="1"/>
        </xdr:cNvSpPr>
      </xdr:nvSpPr>
      <xdr:spPr bwMode="auto">
        <a:xfrm>
          <a:off x="5705475" y="1367790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</a:t>
          </a:r>
        </a:p>
      </xdr:txBody>
    </xdr:sp>
    <xdr:clientData/>
  </xdr:twoCellAnchor>
  <xdr:twoCellAnchor>
    <xdr:from>
      <xdr:col>10</xdr:col>
      <xdr:colOff>180975</xdr:colOff>
      <xdr:row>156</xdr:row>
      <xdr:rowOff>0</xdr:rowOff>
    </xdr:from>
    <xdr:to>
      <xdr:col>11</xdr:col>
      <xdr:colOff>133350</xdr:colOff>
      <xdr:row>156</xdr:row>
      <xdr:rowOff>0</xdr:rowOff>
    </xdr:to>
    <xdr:sp macro="" textlink="">
      <xdr:nvSpPr>
        <xdr:cNvPr id="53263" name="Text Box 15"/>
        <xdr:cNvSpPr txBox="1">
          <a:spLocks noChangeArrowheads="1"/>
        </xdr:cNvSpPr>
      </xdr:nvSpPr>
      <xdr:spPr bwMode="auto">
        <a:xfrm>
          <a:off x="7991475" y="18478500"/>
          <a:ext cx="714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cas design</a:t>
          </a:r>
        </a:p>
      </xdr:txBody>
    </xdr:sp>
    <xdr:clientData/>
  </xdr:twoCellAnchor>
  <xdr:twoCellAnchor>
    <xdr:from>
      <xdr:col>10</xdr:col>
      <xdr:colOff>9525</xdr:colOff>
      <xdr:row>175</xdr:row>
      <xdr:rowOff>28575</xdr:rowOff>
    </xdr:from>
    <xdr:to>
      <xdr:col>10</xdr:col>
      <xdr:colOff>161925</xdr:colOff>
      <xdr:row>177</xdr:row>
      <xdr:rowOff>85725</xdr:rowOff>
    </xdr:to>
    <xdr:sp macro="" textlink="">
      <xdr:nvSpPr>
        <xdr:cNvPr id="53264" name="AutoShape 16"/>
        <xdr:cNvSpPr>
          <a:spLocks/>
        </xdr:cNvSpPr>
      </xdr:nvSpPr>
      <xdr:spPr bwMode="auto">
        <a:xfrm>
          <a:off x="7820025" y="21907500"/>
          <a:ext cx="152400" cy="381000"/>
        </a:xfrm>
        <a:prstGeom prst="rightBrace">
          <a:avLst>
            <a:gd name="adj1" fmla="val 208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200025</xdr:colOff>
      <xdr:row>175</xdr:row>
      <xdr:rowOff>85725</xdr:rowOff>
    </xdr:from>
    <xdr:to>
      <xdr:col>11</xdr:col>
      <xdr:colOff>152400</xdr:colOff>
      <xdr:row>176</xdr:row>
      <xdr:rowOff>152400</xdr:rowOff>
    </xdr:to>
    <xdr:sp macro="" textlink="">
      <xdr:nvSpPr>
        <xdr:cNvPr id="53265" name="Text Box 17"/>
        <xdr:cNvSpPr txBox="1">
          <a:spLocks noChangeArrowheads="1"/>
        </xdr:cNvSpPr>
      </xdr:nvSpPr>
      <xdr:spPr bwMode="auto">
        <a:xfrm>
          <a:off x="8010525" y="21964650"/>
          <a:ext cx="7143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cas design</a:t>
          </a:r>
        </a:p>
      </xdr:txBody>
    </xdr:sp>
    <xdr:clientData/>
  </xdr:twoCellAnchor>
  <xdr:twoCellAnchor>
    <xdr:from>
      <xdr:col>9</xdr:col>
      <xdr:colOff>247650</xdr:colOff>
      <xdr:row>161</xdr:row>
      <xdr:rowOff>47625</xdr:rowOff>
    </xdr:from>
    <xdr:to>
      <xdr:col>9</xdr:col>
      <xdr:colOff>400050</xdr:colOff>
      <xdr:row>163</xdr:row>
      <xdr:rowOff>104775</xdr:rowOff>
    </xdr:to>
    <xdr:sp macro="" textlink="">
      <xdr:nvSpPr>
        <xdr:cNvPr id="53266" name="AutoShape 18"/>
        <xdr:cNvSpPr>
          <a:spLocks/>
        </xdr:cNvSpPr>
      </xdr:nvSpPr>
      <xdr:spPr bwMode="auto">
        <a:xfrm>
          <a:off x="7296150" y="19497675"/>
          <a:ext cx="152400" cy="381000"/>
        </a:xfrm>
        <a:prstGeom prst="rightBrace">
          <a:avLst>
            <a:gd name="adj1" fmla="val 208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504825</xdr:colOff>
      <xdr:row>161</xdr:row>
      <xdr:rowOff>133350</xdr:rowOff>
    </xdr:from>
    <xdr:to>
      <xdr:col>10</xdr:col>
      <xdr:colOff>457200</xdr:colOff>
      <xdr:row>163</xdr:row>
      <xdr:rowOff>38100</xdr:rowOff>
    </xdr:to>
    <xdr:sp macro="" textlink="">
      <xdr:nvSpPr>
        <xdr:cNvPr id="53267" name="Text Box 19"/>
        <xdr:cNvSpPr txBox="1">
          <a:spLocks noChangeArrowheads="1"/>
        </xdr:cNvSpPr>
      </xdr:nvSpPr>
      <xdr:spPr bwMode="auto">
        <a:xfrm>
          <a:off x="7553325" y="19583400"/>
          <a:ext cx="7143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cas design</a:t>
          </a:r>
        </a:p>
      </xdr:txBody>
    </xdr:sp>
    <xdr:clientData/>
  </xdr:twoCellAnchor>
  <xdr:twoCellAnchor>
    <xdr:from>
      <xdr:col>5</xdr:col>
      <xdr:colOff>123825</xdr:colOff>
      <xdr:row>162</xdr:row>
      <xdr:rowOff>142875</xdr:rowOff>
    </xdr:from>
    <xdr:to>
      <xdr:col>5</xdr:col>
      <xdr:colOff>676275</xdr:colOff>
      <xdr:row>169</xdr:row>
      <xdr:rowOff>66675</xdr:rowOff>
    </xdr:to>
    <xdr:sp macro="" textlink="">
      <xdr:nvSpPr>
        <xdr:cNvPr id="53268" name="Oval 20"/>
        <xdr:cNvSpPr>
          <a:spLocks noChangeArrowheads="1"/>
        </xdr:cNvSpPr>
      </xdr:nvSpPr>
      <xdr:spPr bwMode="auto">
        <a:xfrm>
          <a:off x="4019550" y="19754850"/>
          <a:ext cx="552450" cy="1057275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5</xdr:col>
      <xdr:colOff>685800</xdr:colOff>
      <xdr:row>169</xdr:row>
      <xdr:rowOff>85725</xdr:rowOff>
    </xdr:from>
    <xdr:to>
      <xdr:col>6</xdr:col>
      <xdr:colOff>180975</xdr:colOff>
      <xdr:row>176</xdr:row>
      <xdr:rowOff>104775</xdr:rowOff>
    </xdr:to>
    <xdr:sp macro="" textlink="">
      <xdr:nvSpPr>
        <xdr:cNvPr id="53269" name="Freeform 21"/>
        <xdr:cNvSpPr>
          <a:spLocks/>
        </xdr:cNvSpPr>
      </xdr:nvSpPr>
      <xdr:spPr bwMode="auto">
        <a:xfrm>
          <a:off x="4581525" y="20831175"/>
          <a:ext cx="361950" cy="1314450"/>
        </a:xfrm>
        <a:custGeom>
          <a:avLst/>
          <a:gdLst/>
          <a:ahLst/>
          <a:cxnLst>
            <a:cxn ang="0">
              <a:pos x="19" y="138"/>
            </a:cxn>
            <a:cxn ang="0">
              <a:pos x="49" y="31"/>
            </a:cxn>
            <a:cxn ang="0">
              <a:pos x="0" y="0"/>
            </a:cxn>
          </a:cxnLst>
          <a:rect l="0" t="0" r="r" b="b"/>
          <a:pathLst>
            <a:path w="49" h="138">
              <a:moveTo>
                <a:pt x="19" y="138"/>
              </a:moveTo>
              <a:lnTo>
                <a:pt x="49" y="31"/>
              </a:lnTo>
              <a:lnTo>
                <a:pt x="0" y="0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triangle" w="med" len="med"/>
        </a:ln>
      </xdr:spPr>
    </xdr:sp>
    <xdr:clientData/>
  </xdr:twoCellAnchor>
  <xdr:twoCellAnchor>
    <xdr:from>
      <xdr:col>5</xdr:col>
      <xdr:colOff>133350</xdr:colOff>
      <xdr:row>175</xdr:row>
      <xdr:rowOff>114300</xdr:rowOff>
    </xdr:from>
    <xdr:to>
      <xdr:col>5</xdr:col>
      <xdr:colOff>685800</xdr:colOff>
      <xdr:row>182</xdr:row>
      <xdr:rowOff>38100</xdr:rowOff>
    </xdr:to>
    <xdr:sp macro="" textlink="">
      <xdr:nvSpPr>
        <xdr:cNvPr id="53270" name="Oval 22"/>
        <xdr:cNvSpPr>
          <a:spLocks noChangeArrowheads="1"/>
        </xdr:cNvSpPr>
      </xdr:nvSpPr>
      <xdr:spPr bwMode="auto">
        <a:xfrm>
          <a:off x="4029075" y="21993225"/>
          <a:ext cx="552450" cy="1057275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6</xdr:col>
      <xdr:colOff>247650</xdr:colOff>
      <xdr:row>170</xdr:row>
      <xdr:rowOff>123825</xdr:rowOff>
    </xdr:from>
    <xdr:to>
      <xdr:col>10</xdr:col>
      <xdr:colOff>561975</xdr:colOff>
      <xdr:row>172</xdr:row>
      <xdr:rowOff>28575</xdr:rowOff>
    </xdr:to>
    <xdr:sp macro="" textlink="">
      <xdr:nvSpPr>
        <xdr:cNvPr id="53271" name="Text Box 23"/>
        <xdr:cNvSpPr txBox="1">
          <a:spLocks noChangeArrowheads="1"/>
        </xdr:cNvSpPr>
      </xdr:nvSpPr>
      <xdr:spPr bwMode="auto">
        <a:xfrm>
          <a:off x="5010150" y="21031200"/>
          <a:ext cx="33623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DEBIT DE T1 DOIT ETRE LIMITE CAR T2 EN SERIE</a:t>
          </a:r>
        </a:p>
      </xdr:txBody>
    </xdr:sp>
    <xdr:clientData/>
  </xdr:twoCellAnchor>
  <xdr:twoCellAnchor>
    <xdr:from>
      <xdr:col>10</xdr:col>
      <xdr:colOff>266700</xdr:colOff>
      <xdr:row>184</xdr:row>
      <xdr:rowOff>114300</xdr:rowOff>
    </xdr:from>
    <xdr:to>
      <xdr:col>19</xdr:col>
      <xdr:colOff>123825</xdr:colOff>
      <xdr:row>203</xdr:row>
      <xdr:rowOff>9525</xdr:rowOff>
    </xdr:to>
    <xdr:pic>
      <xdr:nvPicPr>
        <xdr:cNvPr id="53272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77200" y="23450550"/>
          <a:ext cx="6715125" cy="29718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>
    <xdr:from>
      <xdr:col>10</xdr:col>
      <xdr:colOff>752475</xdr:colOff>
      <xdr:row>19</xdr:row>
      <xdr:rowOff>0</xdr:rowOff>
    </xdr:from>
    <xdr:to>
      <xdr:col>11</xdr:col>
      <xdr:colOff>704850</xdr:colOff>
      <xdr:row>19</xdr:row>
      <xdr:rowOff>0</xdr:rowOff>
    </xdr:to>
    <xdr:sp macro="" textlink="">
      <xdr:nvSpPr>
        <xdr:cNvPr id="53274" name="Text Box 26"/>
        <xdr:cNvSpPr txBox="1">
          <a:spLocks noChangeArrowheads="1"/>
        </xdr:cNvSpPr>
      </xdr:nvSpPr>
      <xdr:spPr bwMode="auto">
        <a:xfrm>
          <a:off x="8562975" y="3086100"/>
          <a:ext cx="714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cas design</a:t>
          </a:r>
        </a:p>
      </xdr:txBody>
    </xdr:sp>
    <xdr:clientData/>
  </xdr:twoCellAnchor>
  <xdr:twoCellAnchor>
    <xdr:from>
      <xdr:col>1</xdr:col>
      <xdr:colOff>361950</xdr:colOff>
      <xdr:row>196</xdr:row>
      <xdr:rowOff>114300</xdr:rowOff>
    </xdr:from>
    <xdr:to>
      <xdr:col>2</xdr:col>
      <xdr:colOff>19050</xdr:colOff>
      <xdr:row>198</xdr:row>
      <xdr:rowOff>152400</xdr:rowOff>
    </xdr:to>
    <xdr:sp macro="" textlink="">
      <xdr:nvSpPr>
        <xdr:cNvPr id="53279" name="AutoShape 31"/>
        <xdr:cNvSpPr>
          <a:spLocks noChangeArrowheads="1"/>
        </xdr:cNvSpPr>
      </xdr:nvSpPr>
      <xdr:spPr bwMode="auto">
        <a:xfrm>
          <a:off x="1123950" y="25393650"/>
          <a:ext cx="371475" cy="36195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685800</xdr:colOff>
      <xdr:row>205</xdr:row>
      <xdr:rowOff>19050</xdr:rowOff>
    </xdr:from>
    <xdr:to>
      <xdr:col>2</xdr:col>
      <xdr:colOff>342900</xdr:colOff>
      <xdr:row>207</xdr:row>
      <xdr:rowOff>66675</xdr:rowOff>
    </xdr:to>
    <xdr:sp macro="" textlink="">
      <xdr:nvSpPr>
        <xdr:cNvPr id="53280" name="AutoShape 32"/>
        <xdr:cNvSpPr>
          <a:spLocks noChangeArrowheads="1"/>
        </xdr:cNvSpPr>
      </xdr:nvSpPr>
      <xdr:spPr bwMode="auto">
        <a:xfrm>
          <a:off x="1447800" y="26755725"/>
          <a:ext cx="371475" cy="371475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123825</xdr:colOff>
      <xdr:row>195</xdr:row>
      <xdr:rowOff>9525</xdr:rowOff>
    </xdr:from>
    <xdr:to>
      <xdr:col>1</xdr:col>
      <xdr:colOff>552450</xdr:colOff>
      <xdr:row>196</xdr:row>
      <xdr:rowOff>114300</xdr:rowOff>
    </xdr:to>
    <xdr:cxnSp macro="">
      <xdr:nvCxnSpPr>
        <xdr:cNvPr id="53281" name="AutoShape 33"/>
        <xdr:cNvCxnSpPr>
          <a:cxnSpLocks noChangeShapeType="1"/>
          <a:endCxn id="53279" idx="0"/>
        </xdr:cNvCxnSpPr>
      </xdr:nvCxnSpPr>
      <xdr:spPr bwMode="auto">
        <a:xfrm>
          <a:off x="885825" y="25126950"/>
          <a:ext cx="428625" cy="266700"/>
        </a:xfrm>
        <a:prstGeom prst="bentConnector2">
          <a:avLst/>
        </a:prstGeom>
        <a:noFill/>
        <a:ln w="28575">
          <a:solidFill>
            <a:srgbClr val="663300"/>
          </a:solidFill>
          <a:miter lim="800000"/>
          <a:headEnd/>
          <a:tailEnd type="triangle" w="med" len="med"/>
        </a:ln>
        <a:effectLst/>
      </xdr:spPr>
    </xdr:cxnSp>
    <xdr:clientData/>
  </xdr:twoCellAnchor>
  <xdr:twoCellAnchor>
    <xdr:from>
      <xdr:col>1</xdr:col>
      <xdr:colOff>361950</xdr:colOff>
      <xdr:row>198</xdr:row>
      <xdr:rowOff>152400</xdr:rowOff>
    </xdr:from>
    <xdr:to>
      <xdr:col>2</xdr:col>
      <xdr:colOff>161925</xdr:colOff>
      <xdr:row>205</xdr:row>
      <xdr:rowOff>19050</xdr:rowOff>
    </xdr:to>
    <xdr:cxnSp macro="">
      <xdr:nvCxnSpPr>
        <xdr:cNvPr id="53283" name="AutoShape 35"/>
        <xdr:cNvCxnSpPr>
          <a:cxnSpLocks noChangeShapeType="1"/>
          <a:stCxn id="53279" idx="2"/>
          <a:endCxn id="53280" idx="0"/>
        </xdr:cNvCxnSpPr>
      </xdr:nvCxnSpPr>
      <xdr:spPr bwMode="auto">
        <a:xfrm rot="16200000" flipH="1">
          <a:off x="881062" y="25998488"/>
          <a:ext cx="1000125" cy="514350"/>
        </a:xfrm>
        <a:prstGeom prst="bentConnector3">
          <a:avLst>
            <a:gd name="adj1" fmla="val 49523"/>
          </a:avLst>
        </a:prstGeom>
        <a:noFill/>
        <a:ln w="28575">
          <a:solidFill>
            <a:srgbClr val="663300"/>
          </a:solidFill>
          <a:miter lim="800000"/>
          <a:headEnd/>
          <a:tailEnd type="triangle" w="med" len="med"/>
        </a:ln>
        <a:effectLst/>
      </xdr:spPr>
    </xdr:cxnSp>
    <xdr:clientData/>
  </xdr:twoCellAnchor>
  <xdr:twoCellAnchor>
    <xdr:from>
      <xdr:col>1</xdr:col>
      <xdr:colOff>180975</xdr:colOff>
      <xdr:row>207</xdr:row>
      <xdr:rowOff>66675</xdr:rowOff>
    </xdr:from>
    <xdr:to>
      <xdr:col>1</xdr:col>
      <xdr:colOff>685800</xdr:colOff>
      <xdr:row>209</xdr:row>
      <xdr:rowOff>104775</xdr:rowOff>
    </xdr:to>
    <xdr:cxnSp macro="">
      <xdr:nvCxnSpPr>
        <xdr:cNvPr id="53284" name="AutoShape 36"/>
        <xdr:cNvCxnSpPr>
          <a:cxnSpLocks noChangeShapeType="1"/>
          <a:stCxn id="53280" idx="2"/>
        </xdr:cNvCxnSpPr>
      </xdr:nvCxnSpPr>
      <xdr:spPr bwMode="auto">
        <a:xfrm rot="5400000">
          <a:off x="1014413" y="27055762"/>
          <a:ext cx="361950" cy="504825"/>
        </a:xfrm>
        <a:prstGeom prst="bentConnector2">
          <a:avLst/>
        </a:prstGeom>
        <a:noFill/>
        <a:ln w="28575">
          <a:solidFill>
            <a:srgbClr val="663300"/>
          </a:solidFill>
          <a:miter lim="800000"/>
          <a:headEnd/>
          <a:tailEnd type="triangle" w="med" len="med"/>
        </a:ln>
        <a:effectLst/>
      </xdr:spPr>
    </xdr:cxnSp>
    <xdr:clientData/>
  </xdr:twoCellAnchor>
  <xdr:twoCellAnchor>
    <xdr:from>
      <xdr:col>8</xdr:col>
      <xdr:colOff>609600</xdr:colOff>
      <xdr:row>158</xdr:row>
      <xdr:rowOff>66675</xdr:rowOff>
    </xdr:from>
    <xdr:to>
      <xdr:col>10</xdr:col>
      <xdr:colOff>714375</xdr:colOff>
      <xdr:row>161</xdr:row>
      <xdr:rowOff>66675</xdr:rowOff>
    </xdr:to>
    <xdr:sp macro="" textlink="">
      <xdr:nvSpPr>
        <xdr:cNvPr id="53316" name="Line 68"/>
        <xdr:cNvSpPr>
          <a:spLocks noChangeShapeType="1"/>
        </xdr:cNvSpPr>
      </xdr:nvSpPr>
      <xdr:spPr bwMode="auto">
        <a:xfrm flipV="1">
          <a:off x="6896100" y="18869025"/>
          <a:ext cx="16287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/>
        </a:ln>
      </xdr:spPr>
    </xdr:sp>
    <xdr:clientData/>
  </xdr:twoCellAnchor>
  <xdr:twoCellAnchor>
    <xdr:from>
      <xdr:col>7</xdr:col>
      <xdr:colOff>276225</xdr:colOff>
      <xdr:row>8</xdr:row>
      <xdr:rowOff>76200</xdr:rowOff>
    </xdr:from>
    <xdr:to>
      <xdr:col>11</xdr:col>
      <xdr:colOff>676275</xdr:colOff>
      <xdr:row>26</xdr:row>
      <xdr:rowOff>133350</xdr:rowOff>
    </xdr:to>
    <xdr:graphicFrame macro="">
      <xdr:nvGraphicFramePr>
        <xdr:cNvPr id="53346" name="Chart 9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495300</xdr:colOff>
      <xdr:row>16</xdr:row>
      <xdr:rowOff>95250</xdr:rowOff>
    </xdr:from>
    <xdr:to>
      <xdr:col>11</xdr:col>
      <xdr:colOff>619125</xdr:colOff>
      <xdr:row>18</xdr:row>
      <xdr:rowOff>152400</xdr:rowOff>
    </xdr:to>
    <xdr:pic>
      <xdr:nvPicPr>
        <xdr:cNvPr id="501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20075" y="2762250"/>
          <a:ext cx="1657350" cy="381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12</xdr:col>
      <xdr:colOff>238125</xdr:colOff>
      <xdr:row>15</xdr:row>
      <xdr:rowOff>152400</xdr:rowOff>
    </xdr:from>
    <xdr:to>
      <xdr:col>14</xdr:col>
      <xdr:colOff>276225</xdr:colOff>
      <xdr:row>19</xdr:row>
      <xdr:rowOff>123825</xdr:rowOff>
    </xdr:to>
    <xdr:pic>
      <xdr:nvPicPr>
        <xdr:cNvPr id="501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267950" y="2657475"/>
          <a:ext cx="1562100" cy="619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16</xdr:col>
      <xdr:colOff>9525</xdr:colOff>
      <xdr:row>4</xdr:row>
      <xdr:rowOff>152400</xdr:rowOff>
    </xdr:to>
    <xdr:pic>
      <xdr:nvPicPr>
        <xdr:cNvPr id="5017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962775" y="161925"/>
          <a:ext cx="6124575" cy="638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13</xdr:col>
      <xdr:colOff>571500</xdr:colOff>
      <xdr:row>9</xdr:row>
      <xdr:rowOff>152400</xdr:rowOff>
    </xdr:to>
    <xdr:pic>
      <xdr:nvPicPr>
        <xdr:cNvPr id="5018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962775" y="971550"/>
          <a:ext cx="4400550" cy="638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14</xdr:col>
      <xdr:colOff>371475</xdr:colOff>
      <xdr:row>14</xdr:row>
      <xdr:rowOff>133350</xdr:rowOff>
    </xdr:to>
    <xdr:pic>
      <xdr:nvPicPr>
        <xdr:cNvPr id="5018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962775" y="1781175"/>
          <a:ext cx="4962525" cy="657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0</xdr:col>
      <xdr:colOff>647700</xdr:colOff>
      <xdr:row>64</xdr:row>
      <xdr:rowOff>85725</xdr:rowOff>
    </xdr:from>
    <xdr:to>
      <xdr:col>5</xdr:col>
      <xdr:colOff>638175</xdr:colOff>
      <xdr:row>83</xdr:row>
      <xdr:rowOff>57150</xdr:rowOff>
    </xdr:to>
    <xdr:graphicFrame macro="">
      <xdr:nvGraphicFramePr>
        <xdr:cNvPr id="5018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238125</xdr:colOff>
      <xdr:row>64</xdr:row>
      <xdr:rowOff>114300</xdr:rowOff>
    </xdr:from>
    <xdr:to>
      <xdr:col>12</xdr:col>
      <xdr:colOff>323850</xdr:colOff>
      <xdr:row>83</xdr:row>
      <xdr:rowOff>95250</xdr:rowOff>
    </xdr:to>
    <xdr:graphicFrame macro="">
      <xdr:nvGraphicFramePr>
        <xdr:cNvPr id="50183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638175</xdr:colOff>
      <xdr:row>50</xdr:row>
      <xdr:rowOff>38100</xdr:rowOff>
    </xdr:from>
    <xdr:to>
      <xdr:col>5</xdr:col>
      <xdr:colOff>647700</xdr:colOff>
      <xdr:row>69</xdr:row>
      <xdr:rowOff>28575</xdr:rowOff>
    </xdr:to>
    <xdr:graphicFrame macro="">
      <xdr:nvGraphicFramePr>
        <xdr:cNvPr id="5018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8</xdr:col>
      <xdr:colOff>0</xdr:colOff>
      <xdr:row>17</xdr:row>
      <xdr:rowOff>0</xdr:rowOff>
    </xdr:from>
    <xdr:to>
      <xdr:col>9</xdr:col>
      <xdr:colOff>9525</xdr:colOff>
      <xdr:row>19</xdr:row>
      <xdr:rowOff>95250</xdr:rowOff>
    </xdr:to>
    <xdr:pic>
      <xdr:nvPicPr>
        <xdr:cNvPr id="5018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962775" y="2828925"/>
          <a:ext cx="771525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495300</xdr:colOff>
      <xdr:row>16</xdr:row>
      <xdr:rowOff>95250</xdr:rowOff>
    </xdr:from>
    <xdr:to>
      <xdr:col>11</xdr:col>
      <xdr:colOff>619125</xdr:colOff>
      <xdr:row>18</xdr:row>
      <xdr:rowOff>152400</xdr:rowOff>
    </xdr:to>
    <xdr:pic>
      <xdr:nvPicPr>
        <xdr:cNvPr id="491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20075" y="2762250"/>
          <a:ext cx="1657350" cy="381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12</xdr:col>
      <xdr:colOff>238125</xdr:colOff>
      <xdr:row>15</xdr:row>
      <xdr:rowOff>152400</xdr:rowOff>
    </xdr:from>
    <xdr:to>
      <xdr:col>14</xdr:col>
      <xdr:colOff>276225</xdr:colOff>
      <xdr:row>19</xdr:row>
      <xdr:rowOff>123825</xdr:rowOff>
    </xdr:to>
    <xdr:pic>
      <xdr:nvPicPr>
        <xdr:cNvPr id="491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267950" y="2657475"/>
          <a:ext cx="1562100" cy="619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16</xdr:col>
      <xdr:colOff>9525</xdr:colOff>
      <xdr:row>4</xdr:row>
      <xdr:rowOff>152400</xdr:rowOff>
    </xdr:to>
    <xdr:pic>
      <xdr:nvPicPr>
        <xdr:cNvPr id="4915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962775" y="161925"/>
          <a:ext cx="6124575" cy="638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13</xdr:col>
      <xdr:colOff>571500</xdr:colOff>
      <xdr:row>9</xdr:row>
      <xdr:rowOff>152400</xdr:rowOff>
    </xdr:to>
    <xdr:pic>
      <xdr:nvPicPr>
        <xdr:cNvPr id="4915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962775" y="971550"/>
          <a:ext cx="4400550" cy="638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14</xdr:col>
      <xdr:colOff>371475</xdr:colOff>
      <xdr:row>14</xdr:row>
      <xdr:rowOff>133350</xdr:rowOff>
    </xdr:to>
    <xdr:pic>
      <xdr:nvPicPr>
        <xdr:cNvPr id="4915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962775" y="1781175"/>
          <a:ext cx="4962525" cy="657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18</xdr:col>
      <xdr:colOff>400050</xdr:colOff>
      <xdr:row>48</xdr:row>
      <xdr:rowOff>114300</xdr:rowOff>
    </xdr:from>
    <xdr:to>
      <xdr:col>24</xdr:col>
      <xdr:colOff>485775</xdr:colOff>
      <xdr:row>67</xdr:row>
      <xdr:rowOff>85725</xdr:rowOff>
    </xdr:to>
    <xdr:graphicFrame macro="">
      <xdr:nvGraphicFramePr>
        <xdr:cNvPr id="49158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466725</xdr:colOff>
      <xdr:row>50</xdr:row>
      <xdr:rowOff>0</xdr:rowOff>
    </xdr:from>
    <xdr:to>
      <xdr:col>6</xdr:col>
      <xdr:colOff>466725</xdr:colOff>
      <xdr:row>68</xdr:row>
      <xdr:rowOff>142875</xdr:rowOff>
    </xdr:to>
    <xdr:graphicFrame macro="">
      <xdr:nvGraphicFramePr>
        <xdr:cNvPr id="49159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571500</xdr:colOff>
      <xdr:row>49</xdr:row>
      <xdr:rowOff>152400</xdr:rowOff>
    </xdr:from>
    <xdr:to>
      <xdr:col>13</xdr:col>
      <xdr:colOff>666750</xdr:colOff>
      <xdr:row>68</xdr:row>
      <xdr:rowOff>142875</xdr:rowOff>
    </xdr:to>
    <xdr:graphicFrame macro="">
      <xdr:nvGraphicFramePr>
        <xdr:cNvPr id="49160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8</xdr:col>
      <xdr:colOff>0</xdr:colOff>
      <xdr:row>17</xdr:row>
      <xdr:rowOff>0</xdr:rowOff>
    </xdr:from>
    <xdr:to>
      <xdr:col>9</xdr:col>
      <xdr:colOff>9525</xdr:colOff>
      <xdr:row>19</xdr:row>
      <xdr:rowOff>95250</xdr:rowOff>
    </xdr:to>
    <xdr:pic>
      <xdr:nvPicPr>
        <xdr:cNvPr id="4916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962775" y="2828925"/>
          <a:ext cx="771525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vincent.heloin/My%20Documents/Training/aaa/Piping/dimension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vincent.heloin/My%20Documents/SPEC%20VANNES/Valves_refpro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vincent.heloin/My%20Documents/SPEC%20VANNES/Valves_refprop_simp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-s-dta-02\R-Projets$\GCRY\3010911-C2047-HELIAL%20KYOTO\Dossier%20de%20definition\DS%20-%20Data%20Sheets\C2047-DS-107-Lines%20List\C2047-DS-107%20Annex%201%20Dimensionnement%20pipes%20en%20cours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rien.striebig/My%20Documents/Navantia/essai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rien.striebig/My%20Documents/Navantia/Calcu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HePak.xla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ech\aaa\Turbine\DIM-T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\Microsoft%20Office\Office14\xlstart\HePak.xla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ipes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PCV301"/>
      <sheetName val="Fluids"/>
      <sheetName val="Data base"/>
      <sheetName val="FCV3110-Nm3(Refprop)"/>
    </sheetNames>
    <sheetDataSet>
      <sheetData sheetId="0" refreshError="1"/>
      <sheetData sheetId="1" refreshError="1"/>
      <sheetData sheetId="2">
        <row r="4">
          <cell r="A4">
            <v>1</v>
          </cell>
        </row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8">
          <cell r="A8">
            <v>5</v>
          </cell>
        </row>
        <row r="9">
          <cell r="A9">
            <v>6</v>
          </cell>
        </row>
        <row r="10">
          <cell r="A10">
            <v>7</v>
          </cell>
        </row>
        <row r="11">
          <cell r="A11">
            <v>8</v>
          </cell>
        </row>
        <row r="12">
          <cell r="A12">
            <v>9</v>
          </cell>
        </row>
        <row r="13">
          <cell r="A13">
            <v>10</v>
          </cell>
        </row>
        <row r="14">
          <cell r="A14">
            <v>11</v>
          </cell>
        </row>
        <row r="15">
          <cell r="A15">
            <v>12</v>
          </cell>
        </row>
        <row r="16">
          <cell r="A16">
            <v>13</v>
          </cell>
        </row>
        <row r="17">
          <cell r="A17">
            <v>14</v>
          </cell>
        </row>
        <row r="18">
          <cell r="A18">
            <v>15</v>
          </cell>
        </row>
        <row r="19">
          <cell r="A19">
            <v>16</v>
          </cell>
        </row>
        <row r="20">
          <cell r="A20">
            <v>17</v>
          </cell>
        </row>
        <row r="21">
          <cell r="A21">
            <v>18</v>
          </cell>
        </row>
        <row r="22">
          <cell r="A22">
            <v>19</v>
          </cell>
        </row>
        <row r="23">
          <cell r="A23">
            <v>20</v>
          </cell>
        </row>
        <row r="24">
          <cell r="A24">
            <v>21</v>
          </cell>
        </row>
        <row r="25">
          <cell r="A25">
            <v>22</v>
          </cell>
        </row>
        <row r="26">
          <cell r="A26">
            <v>23</v>
          </cell>
        </row>
        <row r="27">
          <cell r="A27">
            <v>24</v>
          </cell>
        </row>
        <row r="28">
          <cell r="A28">
            <v>25</v>
          </cell>
        </row>
        <row r="29">
          <cell r="A29">
            <v>26</v>
          </cell>
        </row>
        <row r="30">
          <cell r="A30">
            <v>27</v>
          </cell>
        </row>
        <row r="31">
          <cell r="A31">
            <v>28</v>
          </cell>
        </row>
        <row r="32">
          <cell r="A32">
            <v>29</v>
          </cell>
        </row>
        <row r="33">
          <cell r="A33">
            <v>30</v>
          </cell>
        </row>
        <row r="34">
          <cell r="A34">
            <v>31</v>
          </cell>
        </row>
        <row r="35">
          <cell r="A35">
            <v>32</v>
          </cell>
        </row>
        <row r="36">
          <cell r="A36">
            <v>33</v>
          </cell>
        </row>
        <row r="37">
          <cell r="A37">
            <v>34</v>
          </cell>
        </row>
        <row r="38">
          <cell r="A38">
            <v>35</v>
          </cell>
        </row>
        <row r="39">
          <cell r="A39">
            <v>36</v>
          </cell>
        </row>
        <row r="40">
          <cell r="A40">
            <v>37</v>
          </cell>
        </row>
        <row r="41">
          <cell r="A41">
            <v>38</v>
          </cell>
        </row>
        <row r="42">
          <cell r="A42">
            <v>39</v>
          </cell>
        </row>
        <row r="43">
          <cell r="A43">
            <v>40</v>
          </cell>
        </row>
        <row r="44">
          <cell r="A44">
            <v>41</v>
          </cell>
        </row>
        <row r="45">
          <cell r="A45">
            <v>42</v>
          </cell>
        </row>
        <row r="46">
          <cell r="A46">
            <v>43</v>
          </cell>
        </row>
        <row r="47">
          <cell r="A47">
            <v>44</v>
          </cell>
        </row>
        <row r="48">
          <cell r="A48">
            <v>45</v>
          </cell>
        </row>
        <row r="49">
          <cell r="A49">
            <v>46</v>
          </cell>
        </row>
        <row r="50">
          <cell r="A50">
            <v>47</v>
          </cell>
        </row>
        <row r="51">
          <cell r="A51">
            <v>48</v>
          </cell>
        </row>
        <row r="52">
          <cell r="A52">
            <v>49</v>
          </cell>
        </row>
        <row r="53">
          <cell r="A53">
            <v>50</v>
          </cell>
        </row>
        <row r="54">
          <cell r="A54">
            <v>51</v>
          </cell>
        </row>
        <row r="55">
          <cell r="A55">
            <v>52</v>
          </cell>
        </row>
        <row r="56">
          <cell r="A56">
            <v>53</v>
          </cell>
        </row>
        <row r="57">
          <cell r="A57">
            <v>54</v>
          </cell>
        </row>
        <row r="58">
          <cell r="A58">
            <v>55</v>
          </cell>
        </row>
        <row r="59">
          <cell r="A59">
            <v>56</v>
          </cell>
        </row>
        <row r="60">
          <cell r="A60">
            <v>57</v>
          </cell>
        </row>
        <row r="61">
          <cell r="A61">
            <v>58</v>
          </cell>
        </row>
        <row r="62">
          <cell r="A62">
            <v>59</v>
          </cell>
        </row>
        <row r="63">
          <cell r="A63">
            <v>60</v>
          </cell>
        </row>
        <row r="64">
          <cell r="A64">
            <v>61</v>
          </cell>
        </row>
        <row r="65">
          <cell r="A65">
            <v>62</v>
          </cell>
        </row>
        <row r="66">
          <cell r="A66">
            <v>63</v>
          </cell>
        </row>
        <row r="67">
          <cell r="A67">
            <v>64</v>
          </cell>
        </row>
        <row r="68">
          <cell r="A68">
            <v>65</v>
          </cell>
        </row>
        <row r="69">
          <cell r="A69">
            <v>66</v>
          </cell>
        </row>
        <row r="70">
          <cell r="A70">
            <v>67</v>
          </cell>
        </row>
        <row r="71">
          <cell r="A71">
            <v>68</v>
          </cell>
        </row>
        <row r="72">
          <cell r="A72">
            <v>69</v>
          </cell>
        </row>
        <row r="73">
          <cell r="A73">
            <v>70</v>
          </cell>
        </row>
        <row r="74">
          <cell r="A74">
            <v>71</v>
          </cell>
        </row>
        <row r="75">
          <cell r="A75">
            <v>72</v>
          </cell>
        </row>
        <row r="76">
          <cell r="A76">
            <v>73</v>
          </cell>
        </row>
        <row r="77">
          <cell r="A77">
            <v>74</v>
          </cell>
        </row>
        <row r="78">
          <cell r="A78">
            <v>75</v>
          </cell>
        </row>
        <row r="79">
          <cell r="A79">
            <v>76</v>
          </cell>
        </row>
        <row r="80">
          <cell r="A80">
            <v>77</v>
          </cell>
        </row>
        <row r="81">
          <cell r="A81">
            <v>78</v>
          </cell>
        </row>
        <row r="82">
          <cell r="A82">
            <v>79</v>
          </cell>
        </row>
        <row r="83">
          <cell r="A83">
            <v>80</v>
          </cell>
        </row>
        <row r="84">
          <cell r="A84">
            <v>81</v>
          </cell>
        </row>
        <row r="85">
          <cell r="A85">
            <v>82</v>
          </cell>
        </row>
        <row r="86">
          <cell r="A86">
            <v>83</v>
          </cell>
        </row>
        <row r="87">
          <cell r="A87">
            <v>84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CV3110-Nm3(Refprop)"/>
      <sheetName val="Cover"/>
      <sheetName val="PCV301"/>
      <sheetName val="Fluids"/>
      <sheetName val="Data base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mplantation"/>
      <sheetName val="Warm Lines"/>
      <sheetName val="Turbines Bearings"/>
      <sheetName val="Boite Froide Haut"/>
      <sheetName val="Boite Froide Bas"/>
      <sheetName val="ORS 1"/>
      <sheetName val="Lignes froides AL"/>
      <sheetName val="calcul"/>
      <sheetName val="Fluides"/>
      <sheetName val="Pipe diame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K2" t="str">
            <v>He</v>
          </cell>
        </row>
        <row r="3">
          <cell r="K3" t="str">
            <v>N2</v>
          </cell>
        </row>
      </sheetData>
      <sheetData sheetId="9">
        <row r="51">
          <cell r="B51">
            <v>0</v>
          </cell>
        </row>
        <row r="52">
          <cell r="B52">
            <v>1</v>
          </cell>
        </row>
        <row r="53">
          <cell r="B53">
            <v>2</v>
          </cell>
        </row>
        <row r="54">
          <cell r="B54">
            <v>3</v>
          </cell>
        </row>
        <row r="55">
          <cell r="B55">
            <v>4</v>
          </cell>
        </row>
        <row r="56">
          <cell r="B56">
            <v>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onnées et calculs"/>
      <sheetName val="Hypothèse col sonique"/>
      <sheetName val="Unités SI"/>
      <sheetName val="Tableaux"/>
      <sheetName val="Infos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  <sheetName val="EBB00054FV"/>
      <sheetName val="EBB00026FV"/>
      <sheetName val="EBB000FV27"/>
      <sheetName val="0FV12"/>
      <sheetName val="0FV11"/>
      <sheetName val="EBB00055FV"/>
      <sheetName val="0FV05"/>
      <sheetName val="0FV10"/>
      <sheetName val="0FV14"/>
      <sheetName val="0FV13"/>
      <sheetName val="0FV01"/>
      <sheetName val="0FV16"/>
      <sheetName val="0FV03"/>
      <sheetName val="0FCV02"/>
      <sheetName val="0FV22"/>
      <sheetName val="0FV21"/>
      <sheetName val="0FV20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definedNames>
      <definedName name="HeCalc"/>
      <definedName name="heProperty"/>
      <definedName name="heunit"/>
    </defined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détente 1"/>
      <sheetName val="détente 2"/>
      <sheetName val="frein"/>
      <sheetName val="pivoterie"/>
      <sheetName val="Onde de Choc"/>
      <sheetName val="dimtur"/>
      <sheetName val="off-design"/>
      <sheetName val="synthèse"/>
      <sheetName val="Flow sheet"/>
      <sheetName val="mécanique"/>
      <sheetName val="données"/>
      <sheetName val="gabarits"/>
      <sheetName val="modifications"/>
      <sheetName val="Module2"/>
      <sheetName val="Module1"/>
      <sheetName val="divers"/>
      <sheetName val="vannes"/>
      <sheetName val="campbell"/>
      <sheetName val="client"/>
      <sheetName val="diag. piv."/>
      <sheetName val="glossaire"/>
      <sheetName val="Module3"/>
    </sheetNames>
    <sheetDataSet>
      <sheetData sheetId="0" refreshError="1">
        <row r="10">
          <cell r="C10">
            <v>0.24829999999999999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definedNames>
      <definedName name="HeCalc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ntrol" Target="../activeX/activeX1.xml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6.bin"/><Relationship Id="rId13" Type="http://schemas.openxmlformats.org/officeDocument/2006/relationships/oleObject" Target="../embeddings/oleObject11.bin"/><Relationship Id="rId3" Type="http://schemas.openxmlformats.org/officeDocument/2006/relationships/vmlDrawing" Target="../drawings/vmlDrawing2.vml"/><Relationship Id="rId7" Type="http://schemas.openxmlformats.org/officeDocument/2006/relationships/oleObject" Target="../embeddings/oleObject5.bin"/><Relationship Id="rId12" Type="http://schemas.openxmlformats.org/officeDocument/2006/relationships/oleObject" Target="../embeddings/oleObject10.bin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4.bin"/><Relationship Id="rId11" Type="http://schemas.openxmlformats.org/officeDocument/2006/relationships/oleObject" Target="../embeddings/oleObject9.bin"/><Relationship Id="rId5" Type="http://schemas.openxmlformats.org/officeDocument/2006/relationships/oleObject" Target="../embeddings/oleObject3.bin"/><Relationship Id="rId10" Type="http://schemas.openxmlformats.org/officeDocument/2006/relationships/oleObject" Target="../embeddings/oleObject8.bin"/><Relationship Id="rId4" Type="http://schemas.openxmlformats.org/officeDocument/2006/relationships/oleObject" Target="../embeddings/oleObject2.bin"/><Relationship Id="rId9" Type="http://schemas.openxmlformats.org/officeDocument/2006/relationships/oleObject" Target="../embeddings/oleObject7.bin"/><Relationship Id="rId14" Type="http://schemas.openxmlformats.org/officeDocument/2006/relationships/oleObject" Target="../embeddings/oleObject1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0">
    <outlinePr summaryBelow="0" summaryRight="0"/>
  </sheetPr>
  <dimension ref="A4:R161"/>
  <sheetViews>
    <sheetView tabSelected="1" zoomScale="85" workbookViewId="0">
      <selection activeCell="E18" sqref="E18"/>
    </sheetView>
  </sheetViews>
  <sheetFormatPr defaultColWidth="11.42578125" defaultRowHeight="12.75" outlineLevelRow="1"/>
  <cols>
    <col min="1" max="1" width="11.42578125" style="54" customWidth="1"/>
    <col min="2" max="2" width="10.7109375" style="54" bestFit="1" customWidth="1"/>
    <col min="3" max="3" width="12.42578125" style="54" bestFit="1" customWidth="1"/>
    <col min="4" max="4" width="28.7109375" style="54" customWidth="1"/>
    <col min="5" max="5" width="12.42578125" style="54" bestFit="1" customWidth="1"/>
    <col min="6" max="6" width="13" style="54" customWidth="1"/>
    <col min="7" max="11" width="11.42578125" style="54" customWidth="1"/>
    <col min="12" max="12" width="10.5703125" style="54" customWidth="1"/>
    <col min="13" max="14" width="23.7109375" style="59" bestFit="1" customWidth="1"/>
    <col min="15" max="15" width="11" style="59" customWidth="1"/>
    <col min="16" max="16384" width="11.42578125" style="54"/>
  </cols>
  <sheetData>
    <row r="4" spans="2:13">
      <c r="G4" s="152"/>
    </row>
    <row r="8" spans="2:13">
      <c r="B8" s="53" t="s">
        <v>146</v>
      </c>
      <c r="C8" s="53"/>
      <c r="D8" s="53"/>
      <c r="E8" s="53"/>
      <c r="F8" s="53"/>
      <c r="G8" s="53"/>
      <c r="H8" s="53"/>
      <c r="I8" s="53"/>
      <c r="M8" s="59" t="s">
        <v>223</v>
      </c>
    </row>
    <row r="9" spans="2:13" outlineLevel="1"/>
    <row r="10" spans="2:13" ht="13.5" outlineLevel="1" thickBot="1">
      <c r="B10" s="135" t="s">
        <v>224</v>
      </c>
      <c r="C10" s="134"/>
      <c r="D10" s="134"/>
      <c r="E10" s="134"/>
      <c r="F10" s="134"/>
      <c r="G10" s="134"/>
      <c r="H10" s="134"/>
      <c r="I10" s="134"/>
      <c r="M10" s="180"/>
    </row>
    <row r="11" spans="2:13" outlineLevel="1"/>
    <row r="12" spans="2:13" outlineLevel="1">
      <c r="D12" s="136" t="s">
        <v>204</v>
      </c>
      <c r="F12" s="136" t="str">
        <f>L39</f>
        <v>MAX</v>
      </c>
      <c r="G12" s="136" t="str">
        <f>L40</f>
        <v>MIN</v>
      </c>
      <c r="H12" s="136" t="str">
        <f>L41</f>
        <v>STS</v>
      </c>
      <c r="I12" s="136" t="str">
        <f>L42</f>
        <v>BAKING</v>
      </c>
    </row>
    <row r="13" spans="2:13" outlineLevel="1">
      <c r="D13" s="146"/>
      <c r="F13" s="146"/>
      <c r="G13" s="146"/>
      <c r="H13" s="146"/>
      <c r="I13" s="146"/>
    </row>
    <row r="14" spans="2:13" outlineLevel="1">
      <c r="B14" s="54" t="s">
        <v>167</v>
      </c>
      <c r="C14" s="54" t="s">
        <v>84</v>
      </c>
      <c r="D14" s="181">
        <v>248</v>
      </c>
      <c r="E14" s="181">
        <v>232.6</v>
      </c>
      <c r="F14" s="182">
        <v>274.7</v>
      </c>
      <c r="G14" s="182">
        <v>265.2</v>
      </c>
      <c r="H14" s="182">
        <v>202</v>
      </c>
      <c r="I14" s="182">
        <v>199</v>
      </c>
    </row>
    <row r="15" spans="2:13" outlineLevel="1">
      <c r="B15" s="54" t="s">
        <v>171</v>
      </c>
      <c r="C15" s="54" t="s">
        <v>110</v>
      </c>
      <c r="D15" s="181">
        <v>17.87</v>
      </c>
      <c r="E15" s="181">
        <v>16.87</v>
      </c>
      <c r="F15" s="182">
        <v>17.55</v>
      </c>
      <c r="G15" s="182">
        <v>17.05</v>
      </c>
      <c r="H15" s="182">
        <v>13.7</v>
      </c>
      <c r="I15" s="182">
        <v>12.41</v>
      </c>
    </row>
    <row r="16" spans="2:13" outlineLevel="1">
      <c r="B16" s="54" t="s">
        <v>173</v>
      </c>
      <c r="C16" s="54" t="s">
        <v>87</v>
      </c>
      <c r="D16" s="181">
        <v>45.32</v>
      </c>
      <c r="E16" s="181">
        <v>46.03</v>
      </c>
      <c r="F16" s="182">
        <v>43.89</v>
      </c>
      <c r="G16" s="182">
        <v>44.49</v>
      </c>
      <c r="H16" s="182">
        <v>49.81</v>
      </c>
      <c r="I16" s="182">
        <v>42.36</v>
      </c>
    </row>
    <row r="17" spans="2:9" outlineLevel="1">
      <c r="B17" s="54" t="s">
        <v>172</v>
      </c>
      <c r="C17" s="54" t="s">
        <v>110</v>
      </c>
      <c r="D17" s="181">
        <v>11.02</v>
      </c>
      <c r="E17" s="181">
        <v>10.39</v>
      </c>
      <c r="F17" s="182">
        <v>11.07</v>
      </c>
      <c r="G17" s="182">
        <v>10.76</v>
      </c>
      <c r="H17" s="182">
        <v>9.0640000000000001</v>
      </c>
      <c r="I17" s="182">
        <v>8.5670000000000002</v>
      </c>
    </row>
    <row r="18" spans="2:9" outlineLevel="1">
      <c r="B18" s="54" t="s">
        <v>174</v>
      </c>
      <c r="C18" s="54" t="s">
        <v>87</v>
      </c>
      <c r="D18" s="180">
        <f t="shared" ref="D18:I18" si="0">T2_turb(11,D15,D16,D17,D19)</f>
        <v>39.135337827470345</v>
      </c>
      <c r="E18" s="180" t="e">
        <f ca="1">T2_turb(11,E15,E16,E17,E19)</f>
        <v>#VALUE!</v>
      </c>
      <c r="F18" s="180" t="e">
        <f ca="1">T2_turb(11,F15,F16,F17,F19)</f>
        <v>#VALUE!</v>
      </c>
      <c r="G18" s="180" t="e">
        <f ca="1">T2_turb(11,G15,G16,G17,G19)</f>
        <v>#VALUE!</v>
      </c>
      <c r="H18" s="180" t="e">
        <f t="shared" ca="1" si="0"/>
        <v>#VALUE!</v>
      </c>
      <c r="I18" s="180" t="e">
        <f t="shared" ca="1" si="0"/>
        <v>#VALUE!</v>
      </c>
    </row>
    <row r="19" spans="2:9" outlineLevel="1">
      <c r="B19" s="54" t="s">
        <v>211</v>
      </c>
      <c r="C19" s="54" t="s">
        <v>106</v>
      </c>
      <c r="D19" s="183">
        <v>0.78</v>
      </c>
      <c r="E19" s="184" t="e">
        <f ca="1">(0.321*E41^4-1.6098*E41^3+1.316*E41^2+0.9448*E41)*($D$19/0.97)</f>
        <v>#VALUE!</v>
      </c>
      <c r="F19" s="184" t="e">
        <f ca="1">(0.321*F41^4-1.6098*F41^3+1.316*F41^2+0.9448*F41)*($D$19/0.97)</f>
        <v>#VALUE!</v>
      </c>
      <c r="G19" s="184" t="e">
        <f ca="1">(0.321*G41^4-1.6098*G41^3+1.316*G41^2+0.9448*G41)*($D$19/0.97)</f>
        <v>#VALUE!</v>
      </c>
      <c r="H19" s="184" t="e">
        <f ca="1">(0.321*H41^4-1.6098*H41^3+1.316*H41^2+0.9448*H41)*($D$19/0.97)</f>
        <v>#VALUE!</v>
      </c>
      <c r="I19" s="184" t="e">
        <f ca="1">(0.321*I41^4-1.6098*I41^3+1.316*I41^2+0.9448*I41)*($D$19/0.97)</f>
        <v>#VALUE!</v>
      </c>
    </row>
    <row r="20" spans="2:9" outlineLevel="1">
      <c r="B20" s="54" t="s">
        <v>169</v>
      </c>
      <c r="C20" s="54" t="s">
        <v>123</v>
      </c>
      <c r="D20" s="185">
        <f t="shared" ref="D20:I20" si="1">+D14*(D31-D32)</f>
        <v>8308.166056020611</v>
      </c>
      <c r="E20" s="185" t="e">
        <f t="shared" ca="1" si="1"/>
        <v>#VALUE!</v>
      </c>
      <c r="F20" s="185" t="e">
        <f t="shared" ca="1" si="1"/>
        <v>#VALUE!</v>
      </c>
      <c r="G20" s="185" t="e">
        <f t="shared" ca="1" si="1"/>
        <v>#VALUE!</v>
      </c>
      <c r="H20" s="185" t="e">
        <f t="shared" ca="1" si="1"/>
        <v>#VALUE!</v>
      </c>
      <c r="I20" s="185" t="e">
        <f t="shared" ca="1" si="1"/>
        <v>#VALUE!</v>
      </c>
    </row>
    <row r="21" spans="2:9" outlineLevel="1">
      <c r="B21" s="54" t="s">
        <v>213</v>
      </c>
      <c r="C21" s="54" t="s">
        <v>118</v>
      </c>
      <c r="D21" s="181">
        <v>1594</v>
      </c>
      <c r="E21" s="186">
        <v>1680.4730354892631</v>
      </c>
      <c r="F21" s="181">
        <v>1606.0474666862997</v>
      </c>
      <c r="G21" s="181">
        <v>1607.1420624477537</v>
      </c>
      <c r="H21" s="181">
        <v>1547.2425822322136</v>
      </c>
      <c r="I21" s="181">
        <v>1431.7143630310932</v>
      </c>
    </row>
    <row r="22" spans="2:9" outlineLevel="1">
      <c r="D22" s="181"/>
      <c r="E22" s="181"/>
      <c r="F22" s="186" t="e">
        <f ca="1">(F20/$D20*$D24/F24)^(1/3)*$D21</f>
        <v>#VALUE!</v>
      </c>
      <c r="G22" s="186" t="e">
        <f ca="1">(G20/$D20*$D24/G24)^(1/3)*$D21</f>
        <v>#VALUE!</v>
      </c>
      <c r="H22" s="186" t="e">
        <f ca="1">(H20/$D20*$D24/H24)^(1/3)*$D21</f>
        <v>#VALUE!</v>
      </c>
      <c r="I22" s="186" t="e">
        <f ca="1">(I20/$D20*$D24/I24)^(1/3)*$D21</f>
        <v>#VALUE!</v>
      </c>
    </row>
    <row r="23" spans="2:9" outlineLevel="1">
      <c r="D23" s="181"/>
      <c r="E23" s="181"/>
      <c r="F23" s="186" t="e">
        <f ca="1">F21-F22</f>
        <v>#VALUE!</v>
      </c>
      <c r="G23" s="186" t="e">
        <f ca="1">G21-G22</f>
        <v>#VALUE!</v>
      </c>
      <c r="H23" s="186" t="e">
        <f ca="1">H21-H22</f>
        <v>#VALUE!</v>
      </c>
      <c r="I23" s="186" t="e">
        <f ca="1">I21-I22</f>
        <v>#VALUE!</v>
      </c>
    </row>
    <row r="24" spans="2:9" outlineLevel="1">
      <c r="B24" s="54" t="s">
        <v>225</v>
      </c>
      <c r="D24" s="181">
        <v>12.4</v>
      </c>
      <c r="E24" s="181">
        <f>($D24-$D17)+E17</f>
        <v>11.770000000000001</v>
      </c>
      <c r="F24" s="181">
        <f>($D24-$D17)+F17</f>
        <v>12.450000000000001</v>
      </c>
      <c r="G24" s="181">
        <f>($D24-$D17)+G17</f>
        <v>12.14</v>
      </c>
      <c r="H24" s="181">
        <f>($D24-$D17)+H17</f>
        <v>10.444000000000001</v>
      </c>
      <c r="I24" s="181">
        <f>($D24-$D17)+I17</f>
        <v>9.947000000000001</v>
      </c>
    </row>
    <row r="25" spans="2:9" outlineLevel="1">
      <c r="B25" s="54" t="s">
        <v>226</v>
      </c>
      <c r="D25" s="181">
        <f t="shared" ref="D25:I25" si="2">rho(11,D24,330)</f>
        <v>1.7997871404336276</v>
      </c>
      <c r="E25" s="181">
        <f t="shared" si="2"/>
        <v>1.7087861511825779</v>
      </c>
      <c r="F25" s="181">
        <f t="shared" si="2"/>
        <v>1.8070074323799472</v>
      </c>
      <c r="G25" s="181">
        <f t="shared" si="2"/>
        <v>1.7622368608597663</v>
      </c>
      <c r="H25" s="181">
        <f t="shared" si="2"/>
        <v>1.5170974004273048</v>
      </c>
      <c r="I25" s="181">
        <f t="shared" si="2"/>
        <v>1.4451966539906642</v>
      </c>
    </row>
    <row r="26" spans="2:9" outlineLevel="1">
      <c r="B26" s="54" t="s">
        <v>212</v>
      </c>
      <c r="C26" s="54" t="s">
        <v>168</v>
      </c>
      <c r="D26" s="181">
        <v>37.5</v>
      </c>
      <c r="E26" s="180">
        <f>$D$26</f>
        <v>37.5</v>
      </c>
      <c r="F26" s="180">
        <f>$D$26</f>
        <v>37.5</v>
      </c>
      <c r="G26" s="180">
        <f>$D$26</f>
        <v>37.5</v>
      </c>
      <c r="H26" s="180">
        <f>$D$26</f>
        <v>37.5</v>
      </c>
      <c r="I26" s="180">
        <f>$D$26</f>
        <v>37.5</v>
      </c>
    </row>
    <row r="27" spans="2:9" outlineLevel="1">
      <c r="B27" s="165" t="s">
        <v>208</v>
      </c>
      <c r="D27" s="187">
        <f>D14*D16^0.5/D15</f>
        <v>93.426930152597535</v>
      </c>
      <c r="E27" s="187">
        <f>+$D$27</f>
        <v>93.426930152597535</v>
      </c>
      <c r="F27" s="187">
        <f>+$D$27</f>
        <v>93.426930152597535</v>
      </c>
      <c r="G27" s="187">
        <f>+$D$27</f>
        <v>93.426930152597535</v>
      </c>
      <c r="H27" s="187">
        <f>+$D$27</f>
        <v>93.426930152597535</v>
      </c>
      <c r="I27" s="187">
        <f>+$D$27</f>
        <v>93.426930152597535</v>
      </c>
    </row>
    <row r="28" spans="2:9" outlineLevel="1">
      <c r="B28" s="54" t="s">
        <v>227</v>
      </c>
      <c r="C28" s="54" t="s">
        <v>228</v>
      </c>
      <c r="D28" s="188">
        <f t="shared" ref="D28:I28" si="3">rho(11,D15,D16)</f>
        <v>18.143536805939366</v>
      </c>
      <c r="E28" s="189">
        <f t="shared" si="3"/>
        <v>16.911027861991364</v>
      </c>
      <c r="F28" s="189">
        <f t="shared" si="3"/>
        <v>18.404251889835908</v>
      </c>
      <c r="G28" s="189">
        <f t="shared" si="3"/>
        <v>17.665078551931739</v>
      </c>
      <c r="H28" s="189">
        <f t="shared" si="3"/>
        <v>12.807269261164885</v>
      </c>
      <c r="I28" s="189">
        <f t="shared" si="3"/>
        <v>13.657912463651932</v>
      </c>
    </row>
    <row r="29" spans="2:9" outlineLevel="1">
      <c r="B29" s="54" t="s">
        <v>229</v>
      </c>
      <c r="D29" s="190">
        <f t="shared" ref="D29:I29" si="4">Sound_speed(11,D15,D16)</f>
        <v>418.15729039996205</v>
      </c>
      <c r="E29" s="190">
        <f t="shared" si="4"/>
        <v>419.88066274880583</v>
      </c>
      <c r="F29" s="190">
        <f t="shared" si="4"/>
        <v>411.71275253751935</v>
      </c>
      <c r="G29" s="190">
        <f t="shared" si="4"/>
        <v>413.63171420268333</v>
      </c>
      <c r="H29" s="190">
        <f t="shared" si="4"/>
        <v>431.54285958902096</v>
      </c>
      <c r="I29" s="190">
        <f t="shared" si="4"/>
        <v>398.561719511131</v>
      </c>
    </row>
    <row r="30" spans="2:9" outlineLevel="1">
      <c r="B30" s="54" t="s">
        <v>230</v>
      </c>
      <c r="D30" s="191">
        <f t="shared" ref="D30:I30" si="5">D14/(D28*D29)</f>
        <v>3.268812859675118E-2</v>
      </c>
      <c r="E30" s="191">
        <f t="shared" si="5"/>
        <v>3.2757732436483493E-2</v>
      </c>
      <c r="F30" s="191">
        <f t="shared" si="5"/>
        <v>3.6253185365150369E-2</v>
      </c>
      <c r="G30" s="191">
        <f t="shared" si="5"/>
        <v>3.6294775708707282E-2</v>
      </c>
      <c r="H30" s="191">
        <f t="shared" si="5"/>
        <v>3.6548612473922659E-2</v>
      </c>
      <c r="I30" s="191">
        <f t="shared" si="5"/>
        <v>3.6557220447089402E-2</v>
      </c>
    </row>
    <row r="31" spans="2:9" outlineLevel="1">
      <c r="B31" s="54" t="s">
        <v>190</v>
      </c>
      <c r="D31" s="192">
        <f t="shared" ref="D31:I31" si="6">H_(11,D15,D16)</f>
        <v>252.15487394845891</v>
      </c>
      <c r="E31" s="193">
        <f t="shared" si="6"/>
        <v>255.85076993656227</v>
      </c>
      <c r="F31" s="193">
        <f t="shared" si="6"/>
        <v>244.46447541975962</v>
      </c>
      <c r="G31" s="193">
        <f t="shared" si="6"/>
        <v>247.63496038060896</v>
      </c>
      <c r="H31" s="193">
        <f t="shared" si="6"/>
        <v>275.58365499794081</v>
      </c>
      <c r="I31" s="193">
        <f t="shared" si="6"/>
        <v>235.90482243099564</v>
      </c>
    </row>
    <row r="32" spans="2:9" outlineLevel="1">
      <c r="B32" s="54" t="s">
        <v>191</v>
      </c>
      <c r="D32" s="192">
        <f t="shared" ref="D32:I32" si="7">H_(11,D17,D18)</f>
        <v>218.65420436773064</v>
      </c>
      <c r="E32" s="193" t="e">
        <f t="shared" ca="1" si="7"/>
        <v>#VALUE!</v>
      </c>
      <c r="F32" s="193" t="e">
        <f t="shared" ca="1" si="7"/>
        <v>#VALUE!</v>
      </c>
      <c r="G32" s="193" t="e">
        <f t="shared" ca="1" si="7"/>
        <v>#VALUE!</v>
      </c>
      <c r="H32" s="193" t="e">
        <f t="shared" ca="1" si="7"/>
        <v>#VALUE!</v>
      </c>
      <c r="I32" s="193" t="e">
        <f t="shared" ca="1" si="7"/>
        <v>#VALUE!</v>
      </c>
    </row>
    <row r="33" spans="2:13" outlineLevel="1">
      <c r="B33" s="54" t="s">
        <v>192</v>
      </c>
      <c r="D33" s="192">
        <f t="shared" ref="D33:I33" si="8">S_(11,D15,D16)</f>
        <v>15.746147646422356</v>
      </c>
      <c r="E33" s="193">
        <f t="shared" si="8"/>
        <v>15.952041538874514</v>
      </c>
      <c r="F33" s="193">
        <f t="shared" si="8"/>
        <v>15.61298556054053</v>
      </c>
      <c r="G33" s="193">
        <f t="shared" si="8"/>
        <v>15.747484738072249</v>
      </c>
      <c r="H33" s="193">
        <f t="shared" si="8"/>
        <v>16.813028251630509</v>
      </c>
      <c r="I33" s="193">
        <f t="shared" si="8"/>
        <v>16.162380887927259</v>
      </c>
    </row>
    <row r="34" spans="2:13" outlineLevel="1">
      <c r="B34" s="54" t="s">
        <v>193</v>
      </c>
      <c r="D34" s="192" t="e">
        <f ca="1">[9]!HeCalc(2,0,1,D17*10^5,8,D33*1000,1)</f>
        <v>#NAME?</v>
      </c>
      <c r="E34" s="194" t="e">
        <f ca="1">[9]!HeCalc(2,0,1,E17*10^5,8,E33*1000,1)</f>
        <v>#NAME?</v>
      </c>
      <c r="F34" s="194" t="e">
        <f ca="1">[9]!HeCalc(2,0,1,F17*10^5,8,F33*1000,1)</f>
        <v>#NAME?</v>
      </c>
      <c r="G34" s="194" t="e">
        <f ca="1">[9]!HeCalc(2,0,1,G17*10^5,8,G33*1000,1)</f>
        <v>#NAME?</v>
      </c>
      <c r="H34" s="194" t="e">
        <f ca="1">[9]!HeCalc(2,0,1,H17*10^5,8,H33*1000,1)</f>
        <v>#NAME?</v>
      </c>
      <c r="I34" s="194" t="e">
        <f ca="1">[9]!HeCalc(2,0,1,I17*10^5,8,I33*1000,1)</f>
        <v>#NAME?</v>
      </c>
    </row>
    <row r="35" spans="2:13" outlineLevel="1">
      <c r="B35" s="54" t="s">
        <v>194</v>
      </c>
      <c r="D35" s="192" t="e">
        <f t="shared" ref="D35:I35" ca="1" si="9">H_(11,D17,D34)</f>
        <v>#VALUE!</v>
      </c>
      <c r="E35" s="193" t="e">
        <f t="shared" ca="1" si="9"/>
        <v>#VALUE!</v>
      </c>
      <c r="F35" s="193" t="e">
        <f t="shared" ca="1" si="9"/>
        <v>#VALUE!</v>
      </c>
      <c r="G35" s="193" t="e">
        <f t="shared" ca="1" si="9"/>
        <v>#VALUE!</v>
      </c>
      <c r="H35" s="193" t="e">
        <f t="shared" ca="1" si="9"/>
        <v>#VALUE!</v>
      </c>
      <c r="I35" s="193" t="e">
        <f t="shared" ca="1" si="9"/>
        <v>#VALUE!</v>
      </c>
    </row>
    <row r="36" spans="2:13" outlineLevel="1">
      <c r="B36" s="54" t="s">
        <v>195</v>
      </c>
      <c r="D36" s="192" t="e">
        <f t="shared" ref="D36:I36" ca="1" si="10">D31-D35</f>
        <v>#VALUE!</v>
      </c>
      <c r="E36" s="193" t="e">
        <f t="shared" ca="1" si="10"/>
        <v>#VALUE!</v>
      </c>
      <c r="F36" s="193" t="e">
        <f t="shared" ca="1" si="10"/>
        <v>#VALUE!</v>
      </c>
      <c r="G36" s="193" t="e">
        <f t="shared" ca="1" si="10"/>
        <v>#VALUE!</v>
      </c>
      <c r="H36" s="193" t="e">
        <f t="shared" ca="1" si="10"/>
        <v>#VALUE!</v>
      </c>
      <c r="I36" s="193" t="e">
        <f t="shared" ca="1" si="10"/>
        <v>#VALUE!</v>
      </c>
    </row>
    <row r="37" spans="2:13" outlineLevel="1">
      <c r="B37" s="155" t="s">
        <v>222</v>
      </c>
      <c r="C37" s="54" t="s">
        <v>88</v>
      </c>
      <c r="D37" s="195" t="e">
        <f ca="1">(2*52.7%*D36*1000*D19)^0.5</f>
        <v>#VALUE!</v>
      </c>
      <c r="E37" s="195" t="e">
        <f ca="1">PI()*$D$38*E21</f>
        <v>#VALUE!</v>
      </c>
      <c r="F37" s="195" t="e">
        <f ca="1">PI()*$D$38*F21</f>
        <v>#VALUE!</v>
      </c>
      <c r="G37" s="195" t="e">
        <f ca="1">PI()*$D$38*G21</f>
        <v>#VALUE!</v>
      </c>
      <c r="H37" s="195" t="e">
        <f ca="1">PI()*$D$38*H21</f>
        <v>#VALUE!</v>
      </c>
      <c r="I37" s="195" t="e">
        <f ca="1">PI()*$D$38*I21</f>
        <v>#VALUE!</v>
      </c>
    </row>
    <row r="38" spans="2:13" outlineLevel="1">
      <c r="B38" s="155" t="s">
        <v>219</v>
      </c>
      <c r="D38" s="196" t="e">
        <f ca="1">D37/PI()/D21</f>
        <v>#VALUE!</v>
      </c>
      <c r="E38" s="193"/>
      <c r="F38" s="193"/>
      <c r="G38" s="193"/>
      <c r="H38" s="193"/>
      <c r="I38" s="193"/>
      <c r="L38" s="55"/>
      <c r="M38" s="197" t="s">
        <v>175</v>
      </c>
    </row>
    <row r="39" spans="2:13" outlineLevel="1">
      <c r="B39" s="54" t="s">
        <v>189</v>
      </c>
      <c r="D39" s="193" t="e">
        <f t="shared" ref="D39:I39" ca="1" si="11">(2000*D36)^0.5</f>
        <v>#VALUE!</v>
      </c>
      <c r="E39" s="193" t="e">
        <f t="shared" ca="1" si="11"/>
        <v>#VALUE!</v>
      </c>
      <c r="F39" s="193" t="e">
        <f t="shared" ca="1" si="11"/>
        <v>#VALUE!</v>
      </c>
      <c r="G39" s="193" t="e">
        <f t="shared" ca="1" si="11"/>
        <v>#VALUE!</v>
      </c>
      <c r="H39" s="193" t="e">
        <f t="shared" ca="1" si="11"/>
        <v>#VALUE!</v>
      </c>
      <c r="I39" s="193" t="e">
        <f t="shared" ca="1" si="11"/>
        <v>#VALUE!</v>
      </c>
      <c r="L39" s="198" t="s">
        <v>231</v>
      </c>
      <c r="M39" s="199" t="str">
        <f>ROUND(F14,0)&amp;"g/s @ "&amp;F15&amp;" b ; "&amp;F16&amp;"K"</f>
        <v>275g/s @ 17,55 b ; 43,89K</v>
      </c>
    </row>
    <row r="40" spans="2:13" outlineLevel="1">
      <c r="B40" s="54" t="s">
        <v>180</v>
      </c>
      <c r="D40" s="200" t="e">
        <f t="shared" ref="D40:I40" ca="1" si="12">D37/D39</f>
        <v>#VALUE!</v>
      </c>
      <c r="E40" s="200" t="e">
        <f t="shared" ca="1" si="12"/>
        <v>#VALUE!</v>
      </c>
      <c r="F40" s="200" t="e">
        <f t="shared" ca="1" si="12"/>
        <v>#VALUE!</v>
      </c>
      <c r="G40" s="200" t="e">
        <f t="shared" ca="1" si="12"/>
        <v>#VALUE!</v>
      </c>
      <c r="H40" s="200" t="e">
        <f t="shared" ca="1" si="12"/>
        <v>#VALUE!</v>
      </c>
      <c r="I40" s="200" t="e">
        <f t="shared" ca="1" si="12"/>
        <v>#VALUE!</v>
      </c>
      <c r="L40" s="198" t="s">
        <v>232</v>
      </c>
      <c r="M40" s="199" t="str">
        <f>ROUND(G14,0)&amp;"g/s @ "&amp;G15&amp;" b ; "&amp;G16&amp;"K"</f>
        <v>265g/s @ 17,05 b ; 44,49K</v>
      </c>
    </row>
    <row r="41" spans="2:13" outlineLevel="1">
      <c r="B41" s="54" t="s">
        <v>221</v>
      </c>
      <c r="D41" s="59" t="e">
        <f ca="1">D40/$D$40</f>
        <v>#VALUE!</v>
      </c>
      <c r="E41" s="201" t="e">
        <f ca="1">E40/$D40</f>
        <v>#VALUE!</v>
      </c>
      <c r="F41" s="201" t="e">
        <f ca="1">F40/$D40</f>
        <v>#VALUE!</v>
      </c>
      <c r="G41" s="201" t="e">
        <f ca="1">G40/$D40</f>
        <v>#VALUE!</v>
      </c>
      <c r="H41" s="201" t="e">
        <f ca="1">H40/$D40</f>
        <v>#VALUE!</v>
      </c>
      <c r="I41" s="201" t="e">
        <f ca="1">I40/$D40</f>
        <v>#VALUE!</v>
      </c>
      <c r="L41" s="198" t="s">
        <v>233</v>
      </c>
      <c r="M41" s="199" t="str">
        <f>ROUND(H14,0)&amp;"g/s @ "&amp;H15&amp;" b ; "&amp;H16&amp;"K"</f>
        <v>202g/s @ 13,7 b ; 49,81K</v>
      </c>
    </row>
    <row r="42" spans="2:13" outlineLevel="1">
      <c r="B42" s="54" t="s">
        <v>181</v>
      </c>
      <c r="D42" s="184" t="e">
        <f t="shared" ref="D42:I42" ca="1" si="13">(0.321*D41^4-1.6098*D41^3+1.316*D41^2+0.9448*D41)*($D19/0.97)</f>
        <v>#VALUE!</v>
      </c>
      <c r="E42" s="184" t="e">
        <f t="shared" ca="1" si="13"/>
        <v>#VALUE!</v>
      </c>
      <c r="F42" s="184" t="e">
        <f t="shared" ca="1" si="13"/>
        <v>#VALUE!</v>
      </c>
      <c r="G42" s="184" t="e">
        <f t="shared" ca="1" si="13"/>
        <v>#VALUE!</v>
      </c>
      <c r="H42" s="184" t="e">
        <f t="shared" ca="1" si="13"/>
        <v>#VALUE!</v>
      </c>
      <c r="I42" s="184" t="e">
        <f t="shared" ca="1" si="13"/>
        <v>#VALUE!</v>
      </c>
      <c r="L42" s="198" t="s">
        <v>234</v>
      </c>
      <c r="M42" s="199" t="str">
        <f>ROUND(I14,0)&amp;"g/s @ "&amp;I15&amp;" b ; "&amp;I16&amp;"K"</f>
        <v>199g/s @ 12,41 b ; 42,36K</v>
      </c>
    </row>
    <row r="43" spans="2:13" outlineLevel="1">
      <c r="D43" s="184"/>
      <c r="E43" s="59"/>
      <c r="F43" s="184"/>
      <c r="G43" s="184"/>
      <c r="H43" s="59"/>
      <c r="I43" s="59"/>
    </row>
    <row r="44" spans="2:13" outlineLevel="1">
      <c r="D44" s="184"/>
      <c r="E44" s="59"/>
      <c r="F44" s="184"/>
      <c r="G44" s="184"/>
      <c r="H44" s="59"/>
      <c r="I44" s="59"/>
    </row>
    <row r="45" spans="2:13" ht="13.5" outlineLevel="1" thickBot="1">
      <c r="B45" s="135" t="s">
        <v>235</v>
      </c>
      <c r="C45" s="134"/>
      <c r="D45" s="202"/>
      <c r="E45" s="202"/>
      <c r="F45" s="202"/>
      <c r="G45" s="202"/>
      <c r="H45" s="202"/>
      <c r="I45" s="202"/>
    </row>
    <row r="46" spans="2:13" outlineLevel="1">
      <c r="D46" s="59"/>
      <c r="E46" s="59"/>
      <c r="F46" s="59"/>
      <c r="G46" s="59"/>
      <c r="H46" s="59"/>
      <c r="I46" s="59"/>
    </row>
    <row r="47" spans="2:13" outlineLevel="1">
      <c r="D47" s="197" t="s">
        <v>204</v>
      </c>
      <c r="E47" s="59"/>
      <c r="F47" s="197" t="str">
        <f>F12</f>
        <v>MAX</v>
      </c>
      <c r="G47" s="197" t="str">
        <f>G12</f>
        <v>MIN</v>
      </c>
      <c r="H47" s="197" t="str">
        <f>H12</f>
        <v>STS</v>
      </c>
      <c r="I47" s="197" t="str">
        <f>I12</f>
        <v>BAKING</v>
      </c>
    </row>
    <row r="48" spans="2:13" outlineLevel="1">
      <c r="D48" s="203"/>
      <c r="E48" s="59"/>
      <c r="F48" s="203"/>
      <c r="G48" s="203"/>
      <c r="H48" s="203"/>
      <c r="I48" s="203"/>
    </row>
    <row r="49" spans="2:9" outlineLevel="1">
      <c r="B49" s="54" t="s">
        <v>167</v>
      </c>
      <c r="C49" s="54" t="s">
        <v>84</v>
      </c>
      <c r="D49" s="181">
        <v>248</v>
      </c>
      <c r="E49" s="181">
        <v>232.50201830451695</v>
      </c>
      <c r="F49" s="182">
        <v>274.39999999999998</v>
      </c>
      <c r="G49" s="182">
        <v>264.89999999999998</v>
      </c>
      <c r="H49" s="182">
        <v>202</v>
      </c>
      <c r="I49" s="182">
        <v>199</v>
      </c>
    </row>
    <row r="50" spans="2:9" outlineLevel="1">
      <c r="B50" s="54" t="s">
        <v>171</v>
      </c>
      <c r="C50" s="54" t="s">
        <v>110</v>
      </c>
      <c r="D50" s="181">
        <v>11</v>
      </c>
      <c r="E50" s="181">
        <v>10.37</v>
      </c>
      <c r="F50" s="182">
        <v>11</v>
      </c>
      <c r="G50" s="182">
        <v>10.69</v>
      </c>
      <c r="H50" s="182">
        <v>8.9909999999999997</v>
      </c>
      <c r="I50" s="182">
        <v>8.4939999999999998</v>
      </c>
    </row>
    <row r="51" spans="2:9" outlineLevel="1">
      <c r="B51" s="54" t="s">
        <v>173</v>
      </c>
      <c r="C51" s="54" t="s">
        <v>87</v>
      </c>
      <c r="D51" s="181">
        <v>20.6</v>
      </c>
      <c r="E51" s="181">
        <v>20.83</v>
      </c>
      <c r="F51" s="182">
        <v>19.29</v>
      </c>
      <c r="G51" s="182">
        <v>19.489999999999998</v>
      </c>
      <c r="H51" s="182">
        <v>23.4</v>
      </c>
      <c r="I51" s="182">
        <v>21.74</v>
      </c>
    </row>
    <row r="52" spans="2:9" outlineLevel="1">
      <c r="B52" s="54" t="s">
        <v>172</v>
      </c>
      <c r="C52" s="54" t="s">
        <v>110</v>
      </c>
      <c r="D52" s="181">
        <v>4.2770000000000001</v>
      </c>
      <c r="E52" s="181">
        <v>4.1769999999999996</v>
      </c>
      <c r="F52" s="182">
        <v>2.27</v>
      </c>
      <c r="G52" s="182">
        <v>4.2270000000000003</v>
      </c>
      <c r="H52" s="182">
        <v>3.9769999999999999</v>
      </c>
      <c r="I52" s="182">
        <v>4.4770000000000003</v>
      </c>
    </row>
    <row r="53" spans="2:9" outlineLevel="1">
      <c r="B53" s="54" t="s">
        <v>174</v>
      </c>
      <c r="C53" s="54" t="s">
        <v>87</v>
      </c>
      <c r="D53" s="180">
        <f t="shared" ref="D53:I53" si="14">T2_turb(11,D50,D51,D52,D54)</f>
        <v>15.363803304958967</v>
      </c>
      <c r="E53" s="180" t="e">
        <f t="shared" ca="1" si="14"/>
        <v>#VALUE!</v>
      </c>
      <c r="F53" s="180" t="e">
        <f t="shared" ca="1" si="14"/>
        <v>#VALUE!</v>
      </c>
      <c r="G53" s="180" t="e">
        <f t="shared" ca="1" si="14"/>
        <v>#VALUE!</v>
      </c>
      <c r="H53" s="180" t="e">
        <f t="shared" ca="1" si="14"/>
        <v>#VALUE!</v>
      </c>
      <c r="I53" s="180" t="e">
        <f t="shared" ca="1" si="14"/>
        <v>#VALUE!</v>
      </c>
    </row>
    <row r="54" spans="2:9" outlineLevel="1">
      <c r="B54" s="54" t="s">
        <v>211</v>
      </c>
      <c r="C54" s="54" t="s">
        <v>106</v>
      </c>
      <c r="D54" s="183">
        <v>0.78</v>
      </c>
      <c r="E54" s="184" t="e">
        <f ca="1">(0.321*E76^4-1.6098*E76^3+1.316*E76^2+0.9448*E76)*($D$54/0.97)</f>
        <v>#VALUE!</v>
      </c>
      <c r="F54" s="184" t="e">
        <f ca="1">(0.321*F76^4-1.6098*F76^3+1.316*F76^2+0.9448*F76)*($D$54/0.97)</f>
        <v>#VALUE!</v>
      </c>
      <c r="G54" s="184" t="e">
        <f ca="1">(0.321*G76^4-1.6098*G76^3+1.316*G76^2+0.9448*G76)*($D$54/0.97)</f>
        <v>#VALUE!</v>
      </c>
      <c r="H54" s="184" t="e">
        <f ca="1">(0.321*H76^4-1.6098*H76^3+1.316*H76^2+0.9448*H76)*($D$54/0.97)</f>
        <v>#VALUE!</v>
      </c>
      <c r="I54" s="184" t="e">
        <f ca="1">(0.321*I76^4-1.6098*I76^3+1.316*I76^2+0.9448*I76)*($D$54/0.97)</f>
        <v>#VALUE!</v>
      </c>
    </row>
    <row r="55" spans="2:9" outlineLevel="1">
      <c r="B55" s="54" t="s">
        <v>169</v>
      </c>
      <c r="C55" s="54" t="s">
        <v>123</v>
      </c>
      <c r="D55" s="185">
        <f t="shared" ref="D55:I55" si="15">+D49*(D66-D67)</f>
        <v>6410.9677720011541</v>
      </c>
      <c r="E55" s="185" t="e">
        <f t="shared" ca="1" si="15"/>
        <v>#VALUE!</v>
      </c>
      <c r="F55" s="185" t="e">
        <f t="shared" ca="1" si="15"/>
        <v>#VALUE!</v>
      </c>
      <c r="G55" s="185" t="e">
        <f t="shared" ca="1" si="15"/>
        <v>#VALUE!</v>
      </c>
      <c r="H55" s="185" t="e">
        <f t="shared" ca="1" si="15"/>
        <v>#VALUE!</v>
      </c>
      <c r="I55" s="185" t="e">
        <f t="shared" ca="1" si="15"/>
        <v>#VALUE!</v>
      </c>
    </row>
    <row r="56" spans="2:9" outlineLevel="1">
      <c r="B56" s="54" t="s">
        <v>213</v>
      </c>
      <c r="C56" s="54" t="s">
        <v>118</v>
      </c>
      <c r="D56" s="181">
        <v>1400</v>
      </c>
      <c r="E56" s="181">
        <v>1365</v>
      </c>
      <c r="F56" s="181">
        <v>1703.9988094293917</v>
      </c>
      <c r="G56" s="181">
        <v>1397.0224893917318</v>
      </c>
      <c r="H56" s="181">
        <v>1324.0638691222946</v>
      </c>
      <c r="I56" s="181">
        <v>1184.0331666692389</v>
      </c>
    </row>
    <row r="57" spans="2:9" outlineLevel="1">
      <c r="D57" s="181"/>
      <c r="E57" s="181"/>
      <c r="F57" s="186" t="e">
        <f ca="1">(F55/$D55*$D59/F59)^(1/3)*$D56</f>
        <v>#VALUE!</v>
      </c>
      <c r="G57" s="186" t="e">
        <f ca="1">(G55/$D55*$D59/G59)^(1/3)*$D56</f>
        <v>#VALUE!</v>
      </c>
      <c r="H57" s="186" t="e">
        <f ca="1">(H55/$D55*$D59/H59)^(1/3)*$D56</f>
        <v>#VALUE!</v>
      </c>
      <c r="I57" s="186" t="e">
        <f ca="1">(I55/$D55*$D59/I59)^(1/3)*$D56</f>
        <v>#VALUE!</v>
      </c>
    </row>
    <row r="58" spans="2:9" outlineLevel="1">
      <c r="D58" s="181"/>
      <c r="E58" s="181"/>
      <c r="F58" s="186" t="e">
        <f ca="1">F56-F57</f>
        <v>#VALUE!</v>
      </c>
      <c r="G58" s="186" t="e">
        <f ca="1">G56-G57</f>
        <v>#VALUE!</v>
      </c>
      <c r="H58" s="186" t="e">
        <f ca="1">H56-H57</f>
        <v>#VALUE!</v>
      </c>
      <c r="I58" s="186" t="e">
        <f ca="1">I56-I57</f>
        <v>#VALUE!</v>
      </c>
    </row>
    <row r="59" spans="2:9" outlineLevel="1">
      <c r="B59" s="54" t="s">
        <v>225</v>
      </c>
      <c r="D59" s="181">
        <v>12.4</v>
      </c>
      <c r="E59" s="186"/>
      <c r="F59" s="181">
        <f>($D59-$D52)+F52</f>
        <v>10.393000000000001</v>
      </c>
      <c r="G59" s="181">
        <f>($D59-$D52)+G52</f>
        <v>12.350000000000001</v>
      </c>
      <c r="H59" s="181">
        <f>($D59-$D52)+H52</f>
        <v>12.100000000000001</v>
      </c>
      <c r="I59" s="181">
        <f>($D59-$D52)+I52</f>
        <v>12.600000000000001</v>
      </c>
    </row>
    <row r="60" spans="2:9" outlineLevel="1">
      <c r="B60" s="54" t="s">
        <v>226</v>
      </c>
      <c r="D60" s="181">
        <f>rho(11,D59,330)</f>
        <v>1.7997871404336276</v>
      </c>
      <c r="E60" s="186"/>
      <c r="F60" s="181">
        <f>rho(11,F59,330)</f>
        <v>1.5097206017696665</v>
      </c>
      <c r="G60" s="181">
        <f>rho(11,G59,330)</f>
        <v>1.7925665531313912</v>
      </c>
      <c r="H60" s="181">
        <f>rho(11,H59,330)</f>
        <v>1.7564591857919802</v>
      </c>
      <c r="I60" s="181">
        <f>rho(11,I59,330)</f>
        <v>1.8286665362232972</v>
      </c>
    </row>
    <row r="61" spans="2:9" outlineLevel="1">
      <c r="B61" s="54" t="s">
        <v>212</v>
      </c>
      <c r="C61" s="54" t="s">
        <v>168</v>
      </c>
      <c r="D61" s="181">
        <v>37.5</v>
      </c>
      <c r="E61" s="180">
        <f>$D$26</f>
        <v>37.5</v>
      </c>
      <c r="F61" s="180">
        <f>$D$26</f>
        <v>37.5</v>
      </c>
      <c r="G61" s="180">
        <f>$D$26</f>
        <v>37.5</v>
      </c>
      <c r="H61" s="180">
        <f>$D$26</f>
        <v>37.5</v>
      </c>
      <c r="I61" s="180">
        <f>$D$26</f>
        <v>37.5</v>
      </c>
    </row>
    <row r="62" spans="2:9" outlineLevel="1">
      <c r="B62" s="165" t="s">
        <v>208</v>
      </c>
      <c r="D62" s="187">
        <f t="shared" ref="D62:I62" si="16">D49*D51^0.5/D50</f>
        <v>102.32755701969941</v>
      </c>
      <c r="E62" s="187">
        <f t="shared" si="16"/>
        <v>102.32755701969943</v>
      </c>
      <c r="F62" s="187">
        <f t="shared" si="16"/>
        <v>109.56139055719603</v>
      </c>
      <c r="G62" s="187">
        <f t="shared" si="16"/>
        <v>109.39819907343733</v>
      </c>
      <c r="H62" s="187">
        <f t="shared" si="16"/>
        <v>108.68041809518232</v>
      </c>
      <c r="I62" s="187">
        <f t="shared" si="16"/>
        <v>109.23720754170373</v>
      </c>
    </row>
    <row r="63" spans="2:9" outlineLevel="1">
      <c r="B63" s="54" t="s">
        <v>227</v>
      </c>
      <c r="C63" s="54" t="s">
        <v>228</v>
      </c>
      <c r="D63" s="188">
        <f t="shared" ref="D63:I63" si="17">rho(11,D50,D51)</f>
        <v>25.540855637956792</v>
      </c>
      <c r="E63" s="189">
        <f t="shared" si="17"/>
        <v>23.807556766461335</v>
      </c>
      <c r="F63" s="189">
        <f t="shared" si="17"/>
        <v>27.48048465747328</v>
      </c>
      <c r="G63" s="189">
        <f t="shared" si="17"/>
        <v>26.406682377280482</v>
      </c>
      <c r="H63" s="189">
        <f t="shared" si="17"/>
        <v>18.257238934263505</v>
      </c>
      <c r="I63" s="189">
        <f t="shared" si="17"/>
        <v>18.66731756848581</v>
      </c>
    </row>
    <row r="64" spans="2:9" outlineLevel="1">
      <c r="B64" s="54" t="s">
        <v>229</v>
      </c>
      <c r="D64" s="190">
        <f t="shared" ref="D64:I64" si="18">Sound_speed(11,D50,D51)</f>
        <v>281.98328846410919</v>
      </c>
      <c r="E64" s="190">
        <f t="shared" si="18"/>
        <v>282.4894474736368</v>
      </c>
      <c r="F64" s="190">
        <f t="shared" si="18"/>
        <v>273.17336875646583</v>
      </c>
      <c r="G64" s="190">
        <f t="shared" si="18"/>
        <v>274.0281512729216</v>
      </c>
      <c r="H64" s="190">
        <f t="shared" si="18"/>
        <v>296.72109855062985</v>
      </c>
      <c r="I64" s="190">
        <f t="shared" si="18"/>
        <v>285.54632194029665</v>
      </c>
    </row>
    <row r="65" spans="2:13" outlineLevel="1">
      <c r="B65" s="54" t="s">
        <v>230</v>
      </c>
      <c r="D65" s="191">
        <f t="shared" ref="D65:I65" si="19">D49/(D63*D64)</f>
        <v>3.4434427550877951E-2</v>
      </c>
      <c r="E65" s="191">
        <f t="shared" si="19"/>
        <v>3.4570819098406869E-2</v>
      </c>
      <c r="F65" s="191">
        <f t="shared" si="19"/>
        <v>3.6552859809052589E-2</v>
      </c>
      <c r="G65" s="191">
        <f t="shared" si="19"/>
        <v>3.6607741476904966E-2</v>
      </c>
      <c r="H65" s="191">
        <f t="shared" si="19"/>
        <v>3.7287892853458113E-2</v>
      </c>
      <c r="I65" s="191">
        <f t="shared" si="19"/>
        <v>3.733314612459418E-2</v>
      </c>
    </row>
    <row r="66" spans="2:13" outlineLevel="1">
      <c r="B66" s="54" t="s">
        <v>190</v>
      </c>
      <c r="D66" s="192">
        <f t="shared" ref="D66:I66" si="20">H_(11,D50,D51)</f>
        <v>117.19893024722134</v>
      </c>
      <c r="E66" s="193">
        <f t="shared" si="20"/>
        <v>118.76588483254763</v>
      </c>
      <c r="F66" s="193">
        <f t="shared" si="20"/>
        <v>109.62807186850429</v>
      </c>
      <c r="G66" s="193">
        <f t="shared" si="20"/>
        <v>110.9314560888928</v>
      </c>
      <c r="H66" s="193">
        <f t="shared" si="20"/>
        <v>133.68648404791796</v>
      </c>
      <c r="I66" s="193">
        <f t="shared" si="20"/>
        <v>124.62661687105937</v>
      </c>
    </row>
    <row r="67" spans="2:13" outlineLevel="1">
      <c r="B67" s="54" t="s">
        <v>191</v>
      </c>
      <c r="D67" s="192">
        <f t="shared" ref="D67:I67" si="21">H_(11,D52,D53)</f>
        <v>91.348253747216688</v>
      </c>
      <c r="E67" s="193" t="e">
        <f t="shared" ca="1" si="21"/>
        <v>#VALUE!</v>
      </c>
      <c r="F67" s="193" t="e">
        <f t="shared" ca="1" si="21"/>
        <v>#VALUE!</v>
      </c>
      <c r="G67" s="193" t="e">
        <f t="shared" ca="1" si="21"/>
        <v>#VALUE!</v>
      </c>
      <c r="H67" s="193" t="e">
        <f t="shared" ca="1" si="21"/>
        <v>#VALUE!</v>
      </c>
      <c r="I67" s="193" t="e">
        <f t="shared" ca="1" si="21"/>
        <v>#VALUE!</v>
      </c>
    </row>
    <row r="68" spans="2:13" outlineLevel="1">
      <c r="B68" s="54" t="s">
        <v>192</v>
      </c>
      <c r="D68" s="192">
        <f t="shared" ref="D68:I68" si="22">S_(11,D50,D51)</f>
        <v>12.471269933399629</v>
      </c>
      <c r="E68" s="193">
        <f t="shared" si="22"/>
        <v>12.670232847386409</v>
      </c>
      <c r="F68" s="193">
        <f t="shared" si="22"/>
        <v>12.091517398356705</v>
      </c>
      <c r="G68" s="193">
        <f t="shared" si="22"/>
        <v>12.218086211860863</v>
      </c>
      <c r="H68" s="193">
        <f t="shared" si="22"/>
        <v>13.645422775959359</v>
      </c>
      <c r="I68" s="193">
        <f t="shared" si="22"/>
        <v>13.363174953746494</v>
      </c>
    </row>
    <row r="69" spans="2:13" outlineLevel="1">
      <c r="B69" s="54" t="s">
        <v>193</v>
      </c>
      <c r="D69" s="192" t="e">
        <f ca="1">[9]!HeCalc(2,0,1,D52*10^5,8,D68*1000,1)</f>
        <v>#NAME?</v>
      </c>
      <c r="E69" s="194" t="e">
        <f ca="1">[9]!HeCalc(2,0,1,E52*10^5,8,E68*1000,1)</f>
        <v>#NAME?</v>
      </c>
      <c r="F69" s="194" t="e">
        <f ca="1">[9]!HeCalc(2,0,1,F52*10^5,8,F68*1000,1)</f>
        <v>#NAME?</v>
      </c>
      <c r="G69" s="194" t="e">
        <f ca="1">[9]!HeCalc(2,0,1,G52*10^5,8,G68*1000,1)</f>
        <v>#NAME?</v>
      </c>
      <c r="H69" s="194" t="e">
        <f ca="1">[9]!HeCalc(2,0,1,H52*10^5,8,H68*1000,1)</f>
        <v>#NAME?</v>
      </c>
      <c r="I69" s="194" t="e">
        <f ca="1">[9]!HeCalc(2,0,1,I52*10^5,8,I68*1000,1)</f>
        <v>#NAME?</v>
      </c>
    </row>
    <row r="70" spans="2:13" outlineLevel="1">
      <c r="B70" s="54" t="s">
        <v>194</v>
      </c>
      <c r="D70" s="192" t="e">
        <f t="shared" ref="D70:I70" ca="1" si="23">H_(11,D52,D69)</f>
        <v>#VALUE!</v>
      </c>
      <c r="E70" s="193" t="e">
        <f t="shared" ca="1" si="23"/>
        <v>#VALUE!</v>
      </c>
      <c r="F70" s="193" t="e">
        <f t="shared" ca="1" si="23"/>
        <v>#VALUE!</v>
      </c>
      <c r="G70" s="193" t="e">
        <f t="shared" ca="1" si="23"/>
        <v>#VALUE!</v>
      </c>
      <c r="H70" s="193" t="e">
        <f t="shared" ca="1" si="23"/>
        <v>#VALUE!</v>
      </c>
      <c r="I70" s="193" t="e">
        <f t="shared" ca="1" si="23"/>
        <v>#VALUE!</v>
      </c>
    </row>
    <row r="71" spans="2:13" outlineLevel="1">
      <c r="B71" s="54" t="s">
        <v>195</v>
      </c>
      <c r="D71" s="192" t="e">
        <f t="shared" ref="D71:I71" ca="1" si="24">D66-D70</f>
        <v>#VALUE!</v>
      </c>
      <c r="E71" s="193" t="e">
        <f t="shared" ca="1" si="24"/>
        <v>#VALUE!</v>
      </c>
      <c r="F71" s="193" t="e">
        <f t="shared" ca="1" si="24"/>
        <v>#VALUE!</v>
      </c>
      <c r="G71" s="193" t="e">
        <f t="shared" ca="1" si="24"/>
        <v>#VALUE!</v>
      </c>
      <c r="H71" s="193" t="e">
        <f t="shared" ca="1" si="24"/>
        <v>#VALUE!</v>
      </c>
      <c r="I71" s="193" t="e">
        <f t="shared" ca="1" si="24"/>
        <v>#VALUE!</v>
      </c>
    </row>
    <row r="72" spans="2:13" outlineLevel="1">
      <c r="B72" s="155" t="s">
        <v>222</v>
      </c>
      <c r="C72" s="54" t="s">
        <v>88</v>
      </c>
      <c r="D72" s="195" t="e">
        <f ca="1">(2*52.7%*D71*1000*D54)^0.5</f>
        <v>#VALUE!</v>
      </c>
      <c r="E72" s="195" t="e">
        <f ca="1">PI()*$D$38*E56</f>
        <v>#VALUE!</v>
      </c>
      <c r="F72" s="195" t="e">
        <f ca="1">PI()*$D$38*F56</f>
        <v>#VALUE!</v>
      </c>
      <c r="G72" s="195" t="e">
        <f ca="1">PI()*$D$38*G56</f>
        <v>#VALUE!</v>
      </c>
      <c r="H72" s="195" t="e">
        <f ca="1">PI()*$D$38*H56</f>
        <v>#VALUE!</v>
      </c>
      <c r="I72" s="195" t="e">
        <f ca="1">PI()*$D$38*I56</f>
        <v>#VALUE!</v>
      </c>
    </row>
    <row r="73" spans="2:13" outlineLevel="1">
      <c r="B73" s="155" t="s">
        <v>219</v>
      </c>
      <c r="D73" s="196" t="e">
        <f ca="1">D72/PI()/D56</f>
        <v>#VALUE!</v>
      </c>
      <c r="E73" s="193"/>
      <c r="F73" s="193"/>
      <c r="G73" s="193"/>
      <c r="H73" s="193"/>
      <c r="I73" s="193"/>
      <c r="L73" s="55"/>
      <c r="M73" s="197" t="s">
        <v>236</v>
      </c>
    </row>
    <row r="74" spans="2:13" outlineLevel="1">
      <c r="B74" s="54" t="s">
        <v>189</v>
      </c>
      <c r="D74" s="193" t="e">
        <f t="shared" ref="D74:I74" ca="1" si="25">(2000*D71)^0.5</f>
        <v>#VALUE!</v>
      </c>
      <c r="E74" s="193" t="e">
        <f t="shared" ca="1" si="25"/>
        <v>#VALUE!</v>
      </c>
      <c r="F74" s="193" t="e">
        <f t="shared" ca="1" si="25"/>
        <v>#VALUE!</v>
      </c>
      <c r="G74" s="193" t="e">
        <f t="shared" ca="1" si="25"/>
        <v>#VALUE!</v>
      </c>
      <c r="H74" s="193" t="e">
        <f t="shared" ca="1" si="25"/>
        <v>#VALUE!</v>
      </c>
      <c r="I74" s="193" t="e">
        <f t="shared" ca="1" si="25"/>
        <v>#VALUE!</v>
      </c>
      <c r="L74" s="198" t="s">
        <v>231</v>
      </c>
      <c r="M74" s="199" t="str">
        <f>ROUND(F49,0)&amp;"g/s @ "&amp;F50&amp;" b ; "&amp;F51&amp;"K"</f>
        <v>274g/s @ 11 b ; 19,29K</v>
      </c>
    </row>
    <row r="75" spans="2:13" outlineLevel="1">
      <c r="B75" s="54" t="s">
        <v>180</v>
      </c>
      <c r="D75" s="200" t="e">
        <f t="shared" ref="D75:I75" ca="1" si="26">D72/D74</f>
        <v>#VALUE!</v>
      </c>
      <c r="E75" s="200" t="e">
        <f t="shared" ca="1" si="26"/>
        <v>#VALUE!</v>
      </c>
      <c r="F75" s="200" t="e">
        <f t="shared" ca="1" si="26"/>
        <v>#VALUE!</v>
      </c>
      <c r="G75" s="200" t="e">
        <f t="shared" ca="1" si="26"/>
        <v>#VALUE!</v>
      </c>
      <c r="H75" s="200" t="e">
        <f t="shared" ca="1" si="26"/>
        <v>#VALUE!</v>
      </c>
      <c r="I75" s="200" t="e">
        <f t="shared" ca="1" si="26"/>
        <v>#VALUE!</v>
      </c>
      <c r="L75" s="198" t="s">
        <v>232</v>
      </c>
      <c r="M75" s="199" t="str">
        <f>ROUND(G49,0)&amp;"g/s @ "&amp;G50&amp;" b ; "&amp;G51&amp;"K"</f>
        <v>265g/s @ 10,69 b ; 19,49K</v>
      </c>
    </row>
    <row r="76" spans="2:13" outlineLevel="1">
      <c r="B76" s="54" t="s">
        <v>221</v>
      </c>
      <c r="D76" s="59" t="e">
        <f ca="1">D75/$D$40</f>
        <v>#VALUE!</v>
      </c>
      <c r="E76" s="201" t="e">
        <f ca="1">E75/$D75</f>
        <v>#VALUE!</v>
      </c>
      <c r="F76" s="201" t="e">
        <f ca="1">F75/$D75</f>
        <v>#VALUE!</v>
      </c>
      <c r="G76" s="201" t="e">
        <f ca="1">G75/$D75</f>
        <v>#VALUE!</v>
      </c>
      <c r="H76" s="201" t="e">
        <f ca="1">H75/$D75</f>
        <v>#VALUE!</v>
      </c>
      <c r="I76" s="201" t="e">
        <f ca="1">I75/$D75</f>
        <v>#VALUE!</v>
      </c>
      <c r="L76" s="198" t="s">
        <v>233</v>
      </c>
      <c r="M76" s="199" t="str">
        <f>ROUND(H49,0)&amp;"g/s @ "&amp;H50&amp;" b ; "&amp;H51&amp;"K"</f>
        <v>202g/s @ 8,991 b ; 23,4K</v>
      </c>
    </row>
    <row r="77" spans="2:13" outlineLevel="1">
      <c r="B77" s="54" t="s">
        <v>181</v>
      </c>
      <c r="D77" s="184" t="e">
        <f t="shared" ref="D77:I77" ca="1" si="27">(0.321*D76^4-1.6098*D76^3+1.316*D76^2+0.9448*D76)*($D54/0.97)</f>
        <v>#VALUE!</v>
      </c>
      <c r="E77" s="184" t="e">
        <f t="shared" ca="1" si="27"/>
        <v>#VALUE!</v>
      </c>
      <c r="F77" s="184" t="e">
        <f t="shared" ca="1" si="27"/>
        <v>#VALUE!</v>
      </c>
      <c r="G77" s="184" t="e">
        <f t="shared" ca="1" si="27"/>
        <v>#VALUE!</v>
      </c>
      <c r="H77" s="184" t="e">
        <f t="shared" ca="1" si="27"/>
        <v>#VALUE!</v>
      </c>
      <c r="I77" s="184" t="e">
        <f t="shared" ca="1" si="27"/>
        <v>#VALUE!</v>
      </c>
      <c r="L77" s="198" t="s">
        <v>234</v>
      </c>
      <c r="M77" s="199" t="str">
        <f>ROUND(I49,0)&amp;"g/s @ "&amp;I50&amp;" b ; "&amp;I51&amp;"K"</f>
        <v>199g/s @ 8,494 b ; 21,74K</v>
      </c>
    </row>
    <row r="78" spans="2:13" outlineLevel="1">
      <c r="D78" s="184"/>
      <c r="E78" s="59"/>
      <c r="F78" s="184"/>
      <c r="G78" s="184"/>
      <c r="H78" s="59"/>
      <c r="I78" s="59"/>
    </row>
    <row r="79" spans="2:13" ht="13.5" outlineLevel="1" thickBot="1">
      <c r="B79" s="135" t="s">
        <v>237</v>
      </c>
      <c r="C79" s="134"/>
      <c r="D79" s="202"/>
      <c r="E79" s="202"/>
      <c r="F79" s="202"/>
      <c r="G79" s="202"/>
      <c r="H79" s="202"/>
      <c r="I79" s="202"/>
    </row>
    <row r="80" spans="2:13" outlineLevel="1">
      <c r="D80" s="59"/>
      <c r="E80" s="59"/>
      <c r="F80" s="59"/>
      <c r="G80" s="59"/>
      <c r="H80" s="59"/>
      <c r="I80" s="59"/>
    </row>
    <row r="81" spans="2:9" outlineLevel="1">
      <c r="D81" s="197" t="s">
        <v>204</v>
      </c>
      <c r="E81" s="59"/>
      <c r="F81" s="197" t="str">
        <f>F47</f>
        <v>MAX</v>
      </c>
      <c r="G81" s="197" t="str">
        <f>G47</f>
        <v>MIN</v>
      </c>
      <c r="H81" s="197" t="str">
        <f>H47</f>
        <v>STS</v>
      </c>
      <c r="I81" s="197" t="str">
        <f>I47</f>
        <v>BAKING</v>
      </c>
    </row>
    <row r="82" spans="2:9" outlineLevel="1">
      <c r="D82" s="203"/>
      <c r="E82" s="59"/>
      <c r="F82" s="203"/>
      <c r="G82" s="203"/>
      <c r="H82" s="203"/>
      <c r="I82" s="203"/>
    </row>
    <row r="83" spans="2:9" outlineLevel="1">
      <c r="B83" s="54" t="s">
        <v>167</v>
      </c>
      <c r="C83" s="54" t="s">
        <v>84</v>
      </c>
      <c r="D83" s="181">
        <v>454</v>
      </c>
      <c r="E83" s="181">
        <v>433</v>
      </c>
      <c r="F83" s="182">
        <v>427</v>
      </c>
      <c r="G83" s="182">
        <v>408</v>
      </c>
      <c r="H83" s="182">
        <v>340</v>
      </c>
      <c r="I83" s="182">
        <v>370</v>
      </c>
    </row>
    <row r="84" spans="2:9" outlineLevel="1">
      <c r="B84" s="54" t="s">
        <v>171</v>
      </c>
      <c r="C84" s="54" t="s">
        <v>110</v>
      </c>
      <c r="D84" s="181">
        <v>15.69</v>
      </c>
      <c r="E84" s="181">
        <v>14.69</v>
      </c>
      <c r="F84" s="182">
        <v>15.34</v>
      </c>
      <c r="G84" s="182">
        <v>14.84</v>
      </c>
      <c r="H84" s="182">
        <v>13.54</v>
      </c>
      <c r="I84" s="182">
        <v>14.2</v>
      </c>
    </row>
    <row r="85" spans="2:9" outlineLevel="1">
      <c r="B85" s="54" t="s">
        <v>173</v>
      </c>
      <c r="C85" s="54" t="s">
        <v>87</v>
      </c>
      <c r="D85" s="181">
        <v>7.03</v>
      </c>
      <c r="E85" s="181">
        <v>7.37</v>
      </c>
      <c r="F85" s="182">
        <v>8.08</v>
      </c>
      <c r="G85" s="182">
        <v>8.3010000000000002</v>
      </c>
      <c r="H85" s="182">
        <v>9.7219999999999995</v>
      </c>
      <c r="I85" s="182">
        <v>9.1839999999999993</v>
      </c>
    </row>
    <row r="86" spans="2:9" outlineLevel="1">
      <c r="B86" s="54" t="s">
        <v>172</v>
      </c>
      <c r="C86" s="54" t="s">
        <v>110</v>
      </c>
      <c r="D86" s="181">
        <v>2.8</v>
      </c>
      <c r="E86" s="181">
        <v>2.8</v>
      </c>
      <c r="F86" s="182">
        <v>5.1230000000000002</v>
      </c>
      <c r="G86" s="182">
        <v>5.1230000000000002</v>
      </c>
      <c r="H86" s="182">
        <v>5.0030000000000001</v>
      </c>
      <c r="I86" s="182">
        <v>5</v>
      </c>
    </row>
    <row r="87" spans="2:9" outlineLevel="1">
      <c r="B87" s="54" t="s">
        <v>174</v>
      </c>
      <c r="C87" s="54" t="s">
        <v>87</v>
      </c>
      <c r="D87" s="180">
        <f t="shared" ref="D87:I87" si="28">T2_turb(11,D84,D85,D86,D88)</f>
        <v>5.3921383594836865</v>
      </c>
      <c r="E87" s="180" t="e">
        <f t="shared" ca="1" si="28"/>
        <v>#VALUE!</v>
      </c>
      <c r="F87" s="180" t="e">
        <f t="shared" ca="1" si="28"/>
        <v>#VALUE!</v>
      </c>
      <c r="G87" s="180" t="e">
        <f t="shared" ca="1" si="28"/>
        <v>#VALUE!</v>
      </c>
      <c r="H87" s="180" t="e">
        <f t="shared" ca="1" si="28"/>
        <v>#VALUE!</v>
      </c>
      <c r="I87" s="180" t="e">
        <f t="shared" ca="1" si="28"/>
        <v>#VALUE!</v>
      </c>
    </row>
    <row r="88" spans="2:9" outlineLevel="1">
      <c r="B88" s="54" t="s">
        <v>211</v>
      </c>
      <c r="C88" s="54" t="s">
        <v>106</v>
      </c>
      <c r="D88" s="183">
        <v>0.73</v>
      </c>
      <c r="E88" s="184" t="e">
        <f ca="1">(0.321*E110^4-1.6098*E110^3+1.316*E110^2+0.9448*E110)*($D$88/0.97)</f>
        <v>#VALUE!</v>
      </c>
      <c r="F88" s="184" t="e">
        <f ca="1">(0.321*F110^4-1.6098*F110^3+1.316*F110^2+0.9448*F110)*($D$88/0.97)</f>
        <v>#VALUE!</v>
      </c>
      <c r="G88" s="184" t="e">
        <f ca="1">(0.321*G110^4-1.6098*G110^3+1.316*G110^2+0.9448*G110)*($D$88/0.97)</f>
        <v>#VALUE!</v>
      </c>
      <c r="H88" s="184" t="e">
        <f ca="1">(0.321*H110^4-1.6098*H110^3+1.316*H110^2+0.9448*H110)*($D$88/0.97)</f>
        <v>#VALUE!</v>
      </c>
      <c r="I88" s="184" t="e">
        <f ca="1">(0.321*I110^4-1.6098*I110^3+1.316*I110^2+0.9448*I110)*($D$88/0.97)</f>
        <v>#VALUE!</v>
      </c>
    </row>
    <row r="89" spans="2:9" outlineLevel="1">
      <c r="B89" s="54" t="s">
        <v>169</v>
      </c>
      <c r="C89" s="54" t="s">
        <v>123</v>
      </c>
      <c r="D89" s="185">
        <f t="shared" ref="D89:I89" si="29">+D83*(D100-D101)</f>
        <v>3516.41626962996</v>
      </c>
      <c r="E89" s="185" t="e">
        <f t="shared" ca="1" si="29"/>
        <v>#VALUE!</v>
      </c>
      <c r="F89" s="185" t="e">
        <f t="shared" ca="1" si="29"/>
        <v>#VALUE!</v>
      </c>
      <c r="G89" s="185" t="e">
        <f t="shared" ca="1" si="29"/>
        <v>#VALUE!</v>
      </c>
      <c r="H89" s="185" t="e">
        <f t="shared" ca="1" si="29"/>
        <v>#VALUE!</v>
      </c>
      <c r="I89" s="185" t="e">
        <f t="shared" ca="1" si="29"/>
        <v>#VALUE!</v>
      </c>
    </row>
    <row r="90" spans="2:9" outlineLevel="1">
      <c r="B90" s="54" t="s">
        <v>213</v>
      </c>
      <c r="C90" s="54" t="s">
        <v>118</v>
      </c>
      <c r="D90" s="181">
        <v>1026</v>
      </c>
      <c r="E90" s="181">
        <v>1010</v>
      </c>
      <c r="F90" s="181">
        <v>888.88901054616645</v>
      </c>
      <c r="G90" s="181">
        <v>878.46240471256397</v>
      </c>
      <c r="H90" s="181">
        <v>898.50983793217677</v>
      </c>
      <c r="I90" s="181">
        <v>899.62680726358053</v>
      </c>
    </row>
    <row r="91" spans="2:9" outlineLevel="1">
      <c r="D91" s="181"/>
      <c r="E91" s="181"/>
      <c r="F91" s="186" t="e">
        <f ca="1">(F89/$D89*$D93/F93)^(1/3)*$D90</f>
        <v>#VALUE!</v>
      </c>
      <c r="G91" s="186" t="e">
        <f ca="1">(G89/$D89*$D93/G93)^(1/3)*$D90</f>
        <v>#VALUE!</v>
      </c>
      <c r="H91" s="186" t="e">
        <f ca="1">(H89/$D89*$D93/H93)^(1/3)*$D90</f>
        <v>#VALUE!</v>
      </c>
      <c r="I91" s="186" t="e">
        <f ca="1">(I89/$D89*$D93/I93)^(1/3)*$D90</f>
        <v>#VALUE!</v>
      </c>
    </row>
    <row r="92" spans="2:9" outlineLevel="1">
      <c r="D92" s="181"/>
      <c r="E92" s="181"/>
      <c r="F92" s="186" t="e">
        <f ca="1">F90-F91</f>
        <v>#VALUE!</v>
      </c>
      <c r="G92" s="186" t="e">
        <f ca="1">G90-G91</f>
        <v>#VALUE!</v>
      </c>
      <c r="H92" s="186" t="e">
        <f ca="1">H90-H91</f>
        <v>#VALUE!</v>
      </c>
      <c r="I92" s="186" t="e">
        <f ca="1">I90-I91</f>
        <v>#VALUE!</v>
      </c>
    </row>
    <row r="93" spans="2:9" outlineLevel="1">
      <c r="B93" s="54" t="s">
        <v>225</v>
      </c>
      <c r="D93" s="181">
        <v>12.4</v>
      </c>
      <c r="E93" s="186"/>
      <c r="F93" s="181">
        <f>($D93-$D86)+F86</f>
        <v>14.723000000000003</v>
      </c>
      <c r="G93" s="181">
        <f>($D93-$D86)+G86</f>
        <v>14.723000000000003</v>
      </c>
      <c r="H93" s="181">
        <f>($D93-$D86)+H86</f>
        <v>14.603000000000002</v>
      </c>
      <c r="I93" s="181">
        <f>($D93-$D86)+I86</f>
        <v>14.600000000000001</v>
      </c>
    </row>
    <row r="94" spans="2:9" outlineLevel="1">
      <c r="B94" s="54" t="s">
        <v>226</v>
      </c>
      <c r="D94" s="181">
        <f>rho(11,D93,330)</f>
        <v>1.7997871404336276</v>
      </c>
      <c r="E94" s="186"/>
      <c r="F94" s="181">
        <f>rho(11,F93,330)</f>
        <v>2.1349302317911873</v>
      </c>
      <c r="G94" s="181">
        <f>rho(11,G93,330)</f>
        <v>2.1349302317911873</v>
      </c>
      <c r="H94" s="181">
        <f>rho(11,H93,330)</f>
        <v>2.1176332249962067</v>
      </c>
      <c r="I94" s="181">
        <f>rho(11,I93,330)</f>
        <v>2.117200778075456</v>
      </c>
    </row>
    <row r="95" spans="2:9" outlineLevel="1">
      <c r="B95" s="54" t="s">
        <v>212</v>
      </c>
      <c r="C95" s="54" t="s">
        <v>168</v>
      </c>
      <c r="D95" s="181">
        <v>28</v>
      </c>
      <c r="E95" s="180">
        <f>$D$95</f>
        <v>28</v>
      </c>
      <c r="F95" s="180">
        <f>$D$95</f>
        <v>28</v>
      </c>
      <c r="G95" s="180">
        <f>$D$95</f>
        <v>28</v>
      </c>
      <c r="H95" s="180">
        <f>$D$95</f>
        <v>28</v>
      </c>
      <c r="I95" s="180">
        <f>$D$95</f>
        <v>28</v>
      </c>
    </row>
    <row r="96" spans="2:9" outlineLevel="1">
      <c r="B96" s="165" t="s">
        <v>208</v>
      </c>
      <c r="D96" s="187">
        <f t="shared" ref="D96:I96" si="30">D83*D85^0.5/D84</f>
        <v>76.720349355481659</v>
      </c>
      <c r="E96" s="187">
        <f t="shared" si="30"/>
        <v>80.02023905916586</v>
      </c>
      <c r="F96" s="187">
        <f t="shared" si="30"/>
        <v>79.123992989786956</v>
      </c>
      <c r="G96" s="187">
        <f t="shared" si="30"/>
        <v>79.212089423011363</v>
      </c>
      <c r="H96" s="187">
        <f t="shared" si="30"/>
        <v>78.295727006923869</v>
      </c>
      <c r="I96" s="187">
        <f t="shared" si="30"/>
        <v>78.964032250186492</v>
      </c>
    </row>
    <row r="97" spans="2:13" outlineLevel="1">
      <c r="B97" s="54" t="s">
        <v>227</v>
      </c>
      <c r="C97" s="54" t="s">
        <v>228</v>
      </c>
      <c r="D97" s="188">
        <f t="shared" ref="D97:I97" si="31">rho(11,D84,D85)</f>
        <v>133.10041212976475</v>
      </c>
      <c r="E97" s="189">
        <f t="shared" si="31"/>
        <v>126.15150431340835</v>
      </c>
      <c r="F97" s="189">
        <f t="shared" si="31"/>
        <v>118.52007478205572</v>
      </c>
      <c r="G97" s="189">
        <f t="shared" si="31"/>
        <v>113.5622187212817</v>
      </c>
      <c r="H97" s="189">
        <f t="shared" si="31"/>
        <v>86.357771280008706</v>
      </c>
      <c r="I97" s="189">
        <f t="shared" si="31"/>
        <v>97.527739457599623</v>
      </c>
    </row>
    <row r="98" spans="2:13" outlineLevel="1">
      <c r="B98" s="54" t="s">
        <v>229</v>
      </c>
      <c r="D98" s="190">
        <f t="shared" ref="D98:I98" si="32">Sound_speed(11,D84,D85)</f>
        <v>278.37037413368364</v>
      </c>
      <c r="E98" s="190">
        <f t="shared" si="32"/>
        <v>263.0805002567734</v>
      </c>
      <c r="F98" s="190">
        <f t="shared" si="32"/>
        <v>255.30523600661596</v>
      </c>
      <c r="G98" s="190">
        <f t="shared" si="32"/>
        <v>246.67040794527531</v>
      </c>
      <c r="H98" s="190">
        <f t="shared" si="32"/>
        <v>220.26513084300478</v>
      </c>
      <c r="I98" s="190">
        <f t="shared" si="32"/>
        <v>228.80664487050078</v>
      </c>
    </row>
    <row r="99" spans="2:13" outlineLevel="1">
      <c r="B99" s="204" t="s">
        <v>230</v>
      </c>
      <c r="C99" s="204"/>
      <c r="D99" s="205">
        <f t="shared" ref="D99:I99" si="33">D83/(D97*D98)</f>
        <v>1.2253310522154687E-2</v>
      </c>
      <c r="E99" s="205">
        <f t="shared" si="33"/>
        <v>1.3046884076824011E-2</v>
      </c>
      <c r="F99" s="205">
        <f t="shared" si="33"/>
        <v>1.4111599309667234E-2</v>
      </c>
      <c r="G99" s="205">
        <f t="shared" si="33"/>
        <v>1.4564958182830321E-2</v>
      </c>
      <c r="H99" s="205">
        <f t="shared" si="33"/>
        <v>1.7874411011785177E-2</v>
      </c>
      <c r="I99" s="205">
        <f t="shared" si="33"/>
        <v>1.6580779092051731E-2</v>
      </c>
    </row>
    <row r="100" spans="2:13" outlineLevel="1">
      <c r="B100" s="54" t="s">
        <v>190</v>
      </c>
      <c r="D100" s="192">
        <f t="shared" ref="D100:I100" si="34">H_(11,D84,D85)</f>
        <v>27.297656061036612</v>
      </c>
      <c r="E100" s="193">
        <f t="shared" si="34"/>
        <v>28.806899242841915</v>
      </c>
      <c r="F100" s="193">
        <f t="shared" si="34"/>
        <v>32.929563952369485</v>
      </c>
      <c r="G100" s="193">
        <f t="shared" si="34"/>
        <v>34.299579059824019</v>
      </c>
      <c r="H100" s="193">
        <f t="shared" si="34"/>
        <v>44.864448113929591</v>
      </c>
      <c r="I100" s="193">
        <f t="shared" si="34"/>
        <v>40.504985501827527</v>
      </c>
    </row>
    <row r="101" spans="2:13" outlineLevel="1">
      <c r="B101" s="54" t="s">
        <v>191</v>
      </c>
      <c r="D101" s="192">
        <f t="shared" ref="D101:I101" si="35">H_(11,D86,D87)</f>
        <v>19.552245775508066</v>
      </c>
      <c r="E101" s="193" t="e">
        <f t="shared" ca="1" si="35"/>
        <v>#VALUE!</v>
      </c>
      <c r="F101" s="193" t="e">
        <f t="shared" ca="1" si="35"/>
        <v>#VALUE!</v>
      </c>
      <c r="G101" s="193" t="e">
        <f t="shared" ca="1" si="35"/>
        <v>#VALUE!</v>
      </c>
      <c r="H101" s="193" t="e">
        <f t="shared" ca="1" si="35"/>
        <v>#VALUE!</v>
      </c>
      <c r="I101" s="193" t="e">
        <f t="shared" ca="1" si="35"/>
        <v>#VALUE!</v>
      </c>
    </row>
    <row r="102" spans="2:13" outlineLevel="1">
      <c r="B102" s="54" t="s">
        <v>192</v>
      </c>
      <c r="D102" s="192">
        <f t="shared" ref="D102:I102" si="36">S_(11,D84,D85)</f>
        <v>4.6548744621978262</v>
      </c>
      <c r="E102" s="193">
        <f t="shared" si="36"/>
        <v>4.971471814103408</v>
      </c>
      <c r="F102" s="193">
        <f t="shared" si="36"/>
        <v>5.4363798982443239</v>
      </c>
      <c r="G102" s="193">
        <f t="shared" si="36"/>
        <v>5.656221826069662</v>
      </c>
      <c r="H102" s="193">
        <f t="shared" si="36"/>
        <v>6.9722021671127212</v>
      </c>
      <c r="I102" s="193">
        <f t="shared" si="36"/>
        <v>6.4350392283015685</v>
      </c>
    </row>
    <row r="103" spans="2:13" outlineLevel="1">
      <c r="B103" s="54" t="s">
        <v>193</v>
      </c>
      <c r="D103" s="192" t="e">
        <f ca="1">[9]!HeCalc(2,0,1,D86*10^5,8,D102*1000,1)</f>
        <v>#NAME?</v>
      </c>
      <c r="E103" s="194" t="e">
        <f ca="1">[9]!HeCalc(2,0,1,E86*10^5,8,E102*1000,1)</f>
        <v>#NAME?</v>
      </c>
      <c r="F103" s="194" t="e">
        <f ca="1">[9]!HeCalc(2,0,1,F86*10^5,8,F102*1000,1)</f>
        <v>#NAME?</v>
      </c>
      <c r="G103" s="194" t="e">
        <f ca="1">[9]!HeCalc(2,0,1,G86*10^5,8,G102*1000,1)</f>
        <v>#NAME?</v>
      </c>
      <c r="H103" s="194" t="e">
        <f ca="1">[9]!HeCalc(2,0,1,H86*10^5,8,H102*1000,1)</f>
        <v>#NAME?</v>
      </c>
      <c r="I103" s="194" t="e">
        <f ca="1">[9]!HeCalc(2,0,1,I86*10^5,8,I102*1000,1)</f>
        <v>#NAME?</v>
      </c>
    </row>
    <row r="104" spans="2:13" outlineLevel="1">
      <c r="B104" s="54" t="s">
        <v>194</v>
      </c>
      <c r="D104" s="192" t="e">
        <f t="shared" ref="D104:I104" ca="1" si="37">H_(11,D86,D103)</f>
        <v>#VALUE!</v>
      </c>
      <c r="E104" s="193" t="e">
        <f t="shared" ca="1" si="37"/>
        <v>#VALUE!</v>
      </c>
      <c r="F104" s="193" t="e">
        <f t="shared" ca="1" si="37"/>
        <v>#VALUE!</v>
      </c>
      <c r="G104" s="193" t="e">
        <f t="shared" ca="1" si="37"/>
        <v>#VALUE!</v>
      </c>
      <c r="H104" s="193" t="e">
        <f t="shared" ca="1" si="37"/>
        <v>#VALUE!</v>
      </c>
      <c r="I104" s="193" t="e">
        <f t="shared" ca="1" si="37"/>
        <v>#VALUE!</v>
      </c>
    </row>
    <row r="105" spans="2:13" outlineLevel="1">
      <c r="B105" s="54" t="s">
        <v>195</v>
      </c>
      <c r="D105" s="192" t="e">
        <f t="shared" ref="D105:I105" ca="1" si="38">D100-D104</f>
        <v>#VALUE!</v>
      </c>
      <c r="E105" s="193" t="e">
        <f t="shared" ca="1" si="38"/>
        <v>#VALUE!</v>
      </c>
      <c r="F105" s="193" t="e">
        <f t="shared" ca="1" si="38"/>
        <v>#VALUE!</v>
      </c>
      <c r="G105" s="193" t="e">
        <f t="shared" ca="1" si="38"/>
        <v>#VALUE!</v>
      </c>
      <c r="H105" s="193" t="e">
        <f t="shared" ca="1" si="38"/>
        <v>#VALUE!</v>
      </c>
      <c r="I105" s="193" t="e">
        <f t="shared" ca="1" si="38"/>
        <v>#VALUE!</v>
      </c>
    </row>
    <row r="106" spans="2:13" outlineLevel="1">
      <c r="B106" s="155" t="s">
        <v>222</v>
      </c>
      <c r="C106" s="54" t="s">
        <v>88</v>
      </c>
      <c r="D106" s="195" t="e">
        <f ca="1">(2*52.7%*D105*1000*D88)^0.5</f>
        <v>#VALUE!</v>
      </c>
      <c r="E106" s="195" t="e">
        <f ca="1">PI()*$D$38*E90</f>
        <v>#VALUE!</v>
      </c>
      <c r="F106" s="195" t="e">
        <f ca="1">PI()*$D$38*F90</f>
        <v>#VALUE!</v>
      </c>
      <c r="G106" s="195" t="e">
        <f ca="1">PI()*$D$38*G90</f>
        <v>#VALUE!</v>
      </c>
      <c r="H106" s="195" t="e">
        <f ca="1">PI()*$D$38*H90</f>
        <v>#VALUE!</v>
      </c>
      <c r="I106" s="195" t="e">
        <f ca="1">PI()*$D$38*I90</f>
        <v>#VALUE!</v>
      </c>
    </row>
    <row r="107" spans="2:13" outlineLevel="1">
      <c r="B107" s="155" t="s">
        <v>219</v>
      </c>
      <c r="D107" s="196" t="e">
        <f ca="1">D106/PI()/D90</f>
        <v>#VALUE!</v>
      </c>
      <c r="E107" s="193"/>
      <c r="F107" s="193"/>
      <c r="G107" s="193"/>
      <c r="H107" s="193"/>
      <c r="I107" s="193"/>
      <c r="L107" s="55"/>
      <c r="M107" s="197" t="s">
        <v>238</v>
      </c>
    </row>
    <row r="108" spans="2:13" outlineLevel="1">
      <c r="B108" s="54" t="s">
        <v>189</v>
      </c>
      <c r="D108" s="193" t="e">
        <f t="shared" ref="D108:I108" ca="1" si="39">(2000*D105)^0.5</f>
        <v>#VALUE!</v>
      </c>
      <c r="E108" s="193" t="e">
        <f t="shared" ca="1" si="39"/>
        <v>#VALUE!</v>
      </c>
      <c r="F108" s="193" t="e">
        <f t="shared" ca="1" si="39"/>
        <v>#VALUE!</v>
      </c>
      <c r="G108" s="193" t="e">
        <f t="shared" ca="1" si="39"/>
        <v>#VALUE!</v>
      </c>
      <c r="H108" s="193" t="e">
        <f t="shared" ca="1" si="39"/>
        <v>#VALUE!</v>
      </c>
      <c r="I108" s="193" t="e">
        <f t="shared" ca="1" si="39"/>
        <v>#VALUE!</v>
      </c>
      <c r="L108" s="198" t="s">
        <v>231</v>
      </c>
      <c r="M108" s="199" t="str">
        <f>ROUND(F83,0)&amp;"g/s @ "&amp;F84&amp;" b ; "&amp;F85&amp;"K"</f>
        <v>427g/s @ 15,34 b ; 8,08K</v>
      </c>
    </row>
    <row r="109" spans="2:13" outlineLevel="1">
      <c r="B109" s="54" t="s">
        <v>180</v>
      </c>
      <c r="D109" s="200" t="e">
        <f t="shared" ref="D109:I109" ca="1" si="40">D106/D108</f>
        <v>#VALUE!</v>
      </c>
      <c r="E109" s="200" t="e">
        <f t="shared" ca="1" si="40"/>
        <v>#VALUE!</v>
      </c>
      <c r="F109" s="200" t="e">
        <f t="shared" ca="1" si="40"/>
        <v>#VALUE!</v>
      </c>
      <c r="G109" s="200" t="e">
        <f t="shared" ca="1" si="40"/>
        <v>#VALUE!</v>
      </c>
      <c r="H109" s="200" t="e">
        <f t="shared" ca="1" si="40"/>
        <v>#VALUE!</v>
      </c>
      <c r="I109" s="200" t="e">
        <f t="shared" ca="1" si="40"/>
        <v>#VALUE!</v>
      </c>
      <c r="L109" s="198" t="s">
        <v>232</v>
      </c>
      <c r="M109" s="199" t="str">
        <f>ROUND(G83,0)&amp;"g/s @ "&amp;G84&amp;" b ; "&amp;G85&amp;"K"</f>
        <v>408g/s @ 14,84 b ; 8,301K</v>
      </c>
    </row>
    <row r="110" spans="2:13" outlineLevel="1">
      <c r="B110" s="54" t="s">
        <v>221</v>
      </c>
      <c r="D110" s="59" t="e">
        <f ca="1">D109/$D$40</f>
        <v>#VALUE!</v>
      </c>
      <c r="E110" s="201" t="e">
        <f ca="1">E109/$D109</f>
        <v>#VALUE!</v>
      </c>
      <c r="F110" s="201" t="e">
        <f ca="1">F109/$D109</f>
        <v>#VALUE!</v>
      </c>
      <c r="G110" s="201" t="e">
        <f ca="1">G109/$D109</f>
        <v>#VALUE!</v>
      </c>
      <c r="H110" s="201" t="e">
        <f ca="1">H109/$D109</f>
        <v>#VALUE!</v>
      </c>
      <c r="I110" s="201" t="e">
        <f ca="1">I109/$D109</f>
        <v>#VALUE!</v>
      </c>
      <c r="L110" s="198" t="s">
        <v>233</v>
      </c>
      <c r="M110" s="199" t="str">
        <f>ROUND(H83,0)&amp;"g/s @ "&amp;H84&amp;" b ; "&amp;H85&amp;"K"</f>
        <v>340g/s @ 13,54 b ; 9,722K</v>
      </c>
    </row>
    <row r="111" spans="2:13" outlineLevel="1">
      <c r="B111" s="54" t="s">
        <v>181</v>
      </c>
      <c r="D111" s="184" t="e">
        <f t="shared" ref="D111:I111" ca="1" si="41">(0.321*D110^4-1.6098*D110^3+1.316*D110^2+0.9448*D110)*($D88/0.97)</f>
        <v>#VALUE!</v>
      </c>
      <c r="E111" s="184" t="e">
        <f t="shared" ca="1" si="41"/>
        <v>#VALUE!</v>
      </c>
      <c r="F111" s="184" t="e">
        <f t="shared" ca="1" si="41"/>
        <v>#VALUE!</v>
      </c>
      <c r="G111" s="184" t="e">
        <f t="shared" ca="1" si="41"/>
        <v>#VALUE!</v>
      </c>
      <c r="H111" s="184" t="e">
        <f t="shared" ca="1" si="41"/>
        <v>#VALUE!</v>
      </c>
      <c r="I111" s="184" t="e">
        <f t="shared" ca="1" si="41"/>
        <v>#VALUE!</v>
      </c>
      <c r="L111" s="198" t="s">
        <v>234</v>
      </c>
      <c r="M111" s="199" t="str">
        <f>ROUND(I83,0)&amp;"g/s @ "&amp;I84&amp;" b ; "&amp;I85&amp;"K"</f>
        <v>370g/s @ 14,2 b ; 9,184K</v>
      </c>
    </row>
    <row r="112" spans="2:13" outlineLevel="1">
      <c r="F112" s="147"/>
      <c r="G112" s="147"/>
    </row>
    <row r="113" spans="1:18">
      <c r="F113" s="147"/>
      <c r="G113" s="147"/>
      <c r="M113" s="206" t="str">
        <f>M38</f>
        <v>T1</v>
      </c>
      <c r="N113" s="206" t="str">
        <f>M107</f>
        <v>T3</v>
      </c>
      <c r="O113" s="197" t="s">
        <v>239</v>
      </c>
    </row>
    <row r="114" spans="1:18">
      <c r="B114" s="53" t="s">
        <v>207</v>
      </c>
      <c r="C114" s="53"/>
      <c r="D114" s="53"/>
      <c r="E114" s="53"/>
      <c r="F114" s="53"/>
      <c r="G114" s="53"/>
      <c r="H114" s="53"/>
      <c r="I114" s="53"/>
      <c r="L114" s="207" t="str">
        <f>L108</f>
        <v>MAX</v>
      </c>
      <c r="M114" s="208" t="str">
        <f>M39</f>
        <v>275g/s @ 17,55 b ; 43,89K</v>
      </c>
      <c r="N114" s="208" t="str">
        <f>M108</f>
        <v>427g/s @ 15,34 b ; 8,08K</v>
      </c>
      <c r="O114" s="209">
        <f>F83+F49</f>
        <v>701.4</v>
      </c>
      <c r="P114" s="180"/>
      <c r="Q114" s="180"/>
      <c r="R114" s="180"/>
    </row>
    <row r="115" spans="1:18" outlineLevel="1">
      <c r="L115" s="207" t="str">
        <f>L109</f>
        <v>MIN</v>
      </c>
      <c r="M115" s="208" t="str">
        <f>M40</f>
        <v>265g/s @ 17,05 b ; 44,49K</v>
      </c>
      <c r="N115" s="208" t="str">
        <f>M109</f>
        <v>408g/s @ 14,84 b ; 8,301K</v>
      </c>
      <c r="O115" s="209">
        <f>G83+G49</f>
        <v>672.9</v>
      </c>
    </row>
    <row r="116" spans="1:18" ht="13.5" outlineLevel="1" thickBot="1">
      <c r="L116" s="207" t="str">
        <f>L110</f>
        <v>STS</v>
      </c>
      <c r="M116" s="208" t="str">
        <f>M41</f>
        <v>202g/s @ 13,7 b ; 49,81K</v>
      </c>
      <c r="N116" s="208" t="str">
        <f>M110</f>
        <v>340g/s @ 13,54 b ; 9,722K</v>
      </c>
      <c r="O116" s="209">
        <f>H83+H49</f>
        <v>542</v>
      </c>
    </row>
    <row r="117" spans="1:18" outlineLevel="1">
      <c r="B117" s="156"/>
      <c r="C117" s="139"/>
      <c r="D117" s="139"/>
      <c r="E117" s="139"/>
      <c r="F117" s="157"/>
      <c r="L117" s="207" t="str">
        <f>L111</f>
        <v>BAKING</v>
      </c>
      <c r="M117" s="208" t="str">
        <f>M42</f>
        <v>199g/s @ 12,41 b ; 42,36K</v>
      </c>
      <c r="N117" s="208" t="str">
        <f>M111</f>
        <v>370g/s @ 14,2 b ; 9,184K</v>
      </c>
      <c r="O117" s="209">
        <f>I83+I49</f>
        <v>569</v>
      </c>
    </row>
    <row r="118" spans="1:18" outlineLevel="1">
      <c r="B118" s="158"/>
      <c r="C118" s="57"/>
      <c r="D118" s="57"/>
      <c r="E118" s="57" t="s">
        <v>186</v>
      </c>
      <c r="F118" s="138"/>
    </row>
    <row r="119" spans="1:18" outlineLevel="1">
      <c r="B119" s="158"/>
      <c r="C119" s="57"/>
      <c r="D119" s="57"/>
      <c r="E119" s="57" t="s">
        <v>187</v>
      </c>
      <c r="F119" s="138"/>
    </row>
    <row r="120" spans="1:18" outlineLevel="1">
      <c r="B120" s="158"/>
      <c r="D120" s="57"/>
      <c r="E120" s="159" t="s">
        <v>188</v>
      </c>
      <c r="F120" s="138"/>
    </row>
    <row r="121" spans="1:18" outlineLevel="1">
      <c r="B121" s="158"/>
      <c r="D121" s="57"/>
      <c r="E121" s="57"/>
      <c r="F121" s="138"/>
    </row>
    <row r="122" spans="1:18" outlineLevel="1">
      <c r="B122" s="158"/>
      <c r="D122" s="57"/>
      <c r="E122" s="57"/>
      <c r="F122" s="138"/>
    </row>
    <row r="123" spans="1:18" ht="13.5" outlineLevel="1" thickBot="1">
      <c r="B123" s="160"/>
      <c r="C123" s="134"/>
      <c r="D123" s="134"/>
      <c r="E123" s="134"/>
      <c r="F123" s="161"/>
    </row>
    <row r="124" spans="1:18" outlineLevel="1"/>
    <row r="125" spans="1:18" outlineLevel="1"/>
    <row r="126" spans="1:18" outlineLevel="1">
      <c r="B126" s="147" t="s">
        <v>177</v>
      </c>
      <c r="C126" s="147"/>
      <c r="D126" s="147"/>
      <c r="E126" s="147"/>
      <c r="F126" s="147"/>
      <c r="G126" s="147"/>
      <c r="H126" s="147"/>
      <c r="I126" s="147" t="s">
        <v>178</v>
      </c>
      <c r="J126" s="147">
        <v>0.64</v>
      </c>
    </row>
    <row r="127" spans="1:18" outlineLevel="1">
      <c r="A127" s="57"/>
      <c r="B127" s="173"/>
      <c r="C127" s="173"/>
      <c r="D127" s="173"/>
      <c r="E127" s="147"/>
      <c r="F127" s="147"/>
      <c r="G127" s="147"/>
      <c r="H127" s="147"/>
      <c r="I127" s="147" t="s">
        <v>179</v>
      </c>
      <c r="J127" s="147">
        <v>0.8</v>
      </c>
    </row>
    <row r="128" spans="1:18" outlineLevel="1">
      <c r="A128" s="57"/>
      <c r="B128" s="174" t="s">
        <v>220</v>
      </c>
      <c r="C128" s="210">
        <f>D19</f>
        <v>0.78</v>
      </c>
      <c r="D128" s="211">
        <f>D54</f>
        <v>0.78</v>
      </c>
      <c r="E128" s="212">
        <f>D88</f>
        <v>0.73</v>
      </c>
      <c r="F128" s="147"/>
      <c r="G128" s="147"/>
      <c r="H128" s="147"/>
      <c r="I128" s="147"/>
      <c r="J128" s="147"/>
    </row>
    <row r="129" spans="1:10" outlineLevel="1">
      <c r="A129" s="57"/>
      <c r="B129" s="57">
        <v>0</v>
      </c>
      <c r="C129" s="213">
        <f>(0.321*B129^4-1.6098*B129^3+1.316*B129^2+0.9448*B129)*$D$19/0.97215493</f>
        <v>0</v>
      </c>
      <c r="D129" s="213"/>
      <c r="E129" s="214"/>
      <c r="F129" s="147"/>
      <c r="G129" s="147"/>
      <c r="H129" s="147"/>
      <c r="I129" s="147"/>
      <c r="J129" s="147"/>
    </row>
    <row r="130" spans="1:10" outlineLevel="1">
      <c r="A130" s="57"/>
      <c r="B130" s="57">
        <f t="shared" ref="B130:B159" si="42">B129+0.05</f>
        <v>0.05</v>
      </c>
      <c r="C130" s="176">
        <f t="shared" ref="C130:C159" si="43">(0.321*$B130^4-1.6098*$B130^3+1.316*$B130^2+0.9448*$B130)*$C$128/0.97215493</f>
        <v>4.0382461852042459E-2</v>
      </c>
      <c r="D130" s="176">
        <f t="shared" ref="D130:D159" si="44">(0.321*$B130^4-1.6098*$B130^3+1.316*$B130^2+0.9448*$B130)*$D$128/0.97215493</f>
        <v>4.0382461852042459E-2</v>
      </c>
      <c r="E130" s="176">
        <f t="shared" ref="E130:E159" si="45">(0.321*$B130^4-1.6098*$B130^3+1.316*$B130^2+0.9448*$B130)*$E$128/0.97215493</f>
        <v>3.7793842502552556E-2</v>
      </c>
      <c r="F130" s="147"/>
      <c r="G130" s="147"/>
      <c r="H130" s="147"/>
      <c r="I130" s="147"/>
      <c r="J130" s="147"/>
    </row>
    <row r="131" spans="1:10" outlineLevel="1">
      <c r="A131" s="57"/>
      <c r="B131" s="57">
        <f t="shared" si="42"/>
        <v>0.1</v>
      </c>
      <c r="C131" s="176">
        <f t="shared" si="43"/>
        <v>8.5098158171146673E-2</v>
      </c>
      <c r="D131" s="176">
        <f t="shared" si="44"/>
        <v>8.5098158171146673E-2</v>
      </c>
      <c r="E131" s="176">
        <f t="shared" si="45"/>
        <v>7.964314803197059E-2</v>
      </c>
      <c r="F131" s="147"/>
      <c r="G131" s="147"/>
      <c r="H131" s="147"/>
      <c r="I131" s="147"/>
      <c r="J131" s="147"/>
    </row>
    <row r="132" spans="1:10" outlineLevel="1">
      <c r="A132" s="57"/>
      <c r="B132" s="57">
        <f t="shared" si="42"/>
        <v>0.15000000000000002</v>
      </c>
      <c r="C132" s="176">
        <f t="shared" si="43"/>
        <v>0.13323633134792623</v>
      </c>
      <c r="D132" s="176">
        <f t="shared" si="44"/>
        <v>0.13323633134792623</v>
      </c>
      <c r="E132" s="176">
        <f t="shared" si="45"/>
        <v>0.12469554087690531</v>
      </c>
      <c r="F132" s="147"/>
      <c r="G132" s="147"/>
      <c r="H132" s="147"/>
      <c r="I132" s="147"/>
      <c r="J132" s="147"/>
    </row>
    <row r="133" spans="1:10" outlineLevel="1">
      <c r="A133" s="57"/>
      <c r="B133" s="57">
        <f t="shared" si="42"/>
        <v>0.2</v>
      </c>
      <c r="C133" s="176">
        <f t="shared" si="43"/>
        <v>0.18392485650409657</v>
      </c>
      <c r="D133" s="176">
        <f t="shared" si="44"/>
        <v>0.18392485650409657</v>
      </c>
      <c r="E133" s="176">
        <f t="shared" si="45"/>
        <v>0.17213480159998779</v>
      </c>
      <c r="F133" s="147"/>
      <c r="G133" s="147"/>
      <c r="H133" s="147"/>
      <c r="I133" s="147"/>
      <c r="J133" s="147"/>
    </row>
    <row r="134" spans="1:10" outlineLevel="1">
      <c r="A134" s="57"/>
      <c r="B134" s="57">
        <f t="shared" si="42"/>
        <v>0.25</v>
      </c>
      <c r="C134" s="176">
        <f t="shared" si="43"/>
        <v>0.23633024149247489</v>
      </c>
      <c r="D134" s="176">
        <f t="shared" si="44"/>
        <v>0.23633024149247489</v>
      </c>
      <c r="E134" s="176">
        <f t="shared" si="45"/>
        <v>0.22118086703782905</v>
      </c>
      <c r="F134" s="147"/>
      <c r="G134" s="147"/>
      <c r="H134" s="147"/>
      <c r="I134" s="147"/>
      <c r="J134" s="147"/>
    </row>
    <row r="135" spans="1:10" outlineLevel="1">
      <c r="A135" s="57"/>
      <c r="B135" s="57">
        <f t="shared" si="42"/>
        <v>0.3</v>
      </c>
      <c r="C135" s="176">
        <f t="shared" si="43"/>
        <v>0.28965762689698032</v>
      </c>
      <c r="D135" s="176">
        <f t="shared" si="44"/>
        <v>0.28965762689698032</v>
      </c>
      <c r="E135" s="176">
        <f t="shared" si="45"/>
        <v>0.27108983030102002</v>
      </c>
      <c r="F135" s="147"/>
      <c r="G135" s="147"/>
      <c r="H135" s="147"/>
      <c r="I135" s="147"/>
      <c r="J135" s="147"/>
    </row>
    <row r="136" spans="1:10" outlineLevel="1">
      <c r="A136" s="57"/>
      <c r="B136" s="57">
        <f t="shared" si="42"/>
        <v>0.35</v>
      </c>
      <c r="C136" s="176">
        <f t="shared" si="43"/>
        <v>0.34315078603263366</v>
      </c>
      <c r="D136" s="176">
        <f t="shared" si="44"/>
        <v>0.34315078603263366</v>
      </c>
      <c r="E136" s="176">
        <f t="shared" si="45"/>
        <v>0.32115394077413151</v>
      </c>
      <c r="F136" s="147"/>
      <c r="G136" s="147"/>
      <c r="H136" s="147"/>
      <c r="I136" s="147"/>
      <c r="J136" s="147"/>
    </row>
    <row r="137" spans="1:10" outlineLevel="1">
      <c r="A137" s="57"/>
      <c r="B137" s="57">
        <f t="shared" si="42"/>
        <v>0.39999999999999997</v>
      </c>
      <c r="C137" s="176">
        <f t="shared" si="43"/>
        <v>0.39609212494555779</v>
      </c>
      <c r="D137" s="176">
        <f t="shared" si="44"/>
        <v>0.39609212494555779</v>
      </c>
      <c r="E137" s="176">
        <f t="shared" si="45"/>
        <v>0.37070160411571434</v>
      </c>
      <c r="F137" s="147"/>
      <c r="G137" s="147"/>
      <c r="H137" s="147"/>
      <c r="I137" s="147"/>
      <c r="J137" s="147"/>
    </row>
    <row r="138" spans="1:10" outlineLevel="1">
      <c r="A138" s="57"/>
      <c r="B138" s="57">
        <f t="shared" si="42"/>
        <v>0.44999999999999996</v>
      </c>
      <c r="C138" s="176">
        <f t="shared" si="43"/>
        <v>0.4478026824129771</v>
      </c>
      <c r="D138" s="176">
        <f t="shared" si="44"/>
        <v>0.4478026824129771</v>
      </c>
      <c r="E138" s="176">
        <f t="shared" si="45"/>
        <v>0.41909738225829907</v>
      </c>
      <c r="F138" s="147"/>
      <c r="G138" s="147"/>
      <c r="H138" s="147"/>
      <c r="I138" s="147"/>
      <c r="J138" s="147"/>
    </row>
    <row r="139" spans="1:10" outlineLevel="1">
      <c r="A139" s="57"/>
      <c r="B139" s="57">
        <f t="shared" si="42"/>
        <v>0.49999999999999994</v>
      </c>
      <c r="C139" s="176">
        <f t="shared" si="43"/>
        <v>0.49764212994321799</v>
      </c>
      <c r="D139" s="176">
        <f t="shared" si="44"/>
        <v>0.49764212994321799</v>
      </c>
      <c r="E139" s="176">
        <f t="shared" si="45"/>
        <v>0.46574199340839634</v>
      </c>
      <c r="F139" s="147"/>
      <c r="G139" s="147"/>
      <c r="H139" s="147"/>
      <c r="I139" s="147"/>
      <c r="J139" s="147"/>
    </row>
    <row r="140" spans="1:10" outlineLevel="1">
      <c r="A140" s="57"/>
      <c r="B140" s="57">
        <f t="shared" si="42"/>
        <v>0.54999999999999993</v>
      </c>
      <c r="C140" s="176">
        <f t="shared" si="43"/>
        <v>0.54500877177570861</v>
      </c>
      <c r="D140" s="176">
        <f t="shared" si="44"/>
        <v>0.54500877177570861</v>
      </c>
      <c r="E140" s="176">
        <f t="shared" si="45"/>
        <v>0.5100723120464965</v>
      </c>
      <c r="F140" s="147"/>
      <c r="G140" s="147"/>
      <c r="H140" s="147"/>
      <c r="I140" s="147"/>
      <c r="J140" s="147"/>
    </row>
    <row r="141" spans="1:10" outlineLevel="1">
      <c r="A141" s="57"/>
      <c r="B141" s="57">
        <f t="shared" si="42"/>
        <v>0.6</v>
      </c>
      <c r="C141" s="176">
        <f t="shared" si="43"/>
        <v>0.58933954488097895</v>
      </c>
      <c r="D141" s="176">
        <f t="shared" si="44"/>
        <v>0.58933954488097895</v>
      </c>
      <c r="E141" s="176">
        <f t="shared" si="45"/>
        <v>0.55156136892707008</v>
      </c>
      <c r="F141" s="147"/>
      <c r="G141" s="147"/>
      <c r="H141" s="147"/>
      <c r="I141" s="147"/>
      <c r="J141" s="147"/>
    </row>
    <row r="142" spans="1:10" outlineLevel="1">
      <c r="A142" s="57"/>
      <c r="B142" s="57">
        <f t="shared" si="42"/>
        <v>0.65</v>
      </c>
      <c r="C142" s="176">
        <f t="shared" si="43"/>
        <v>0.63011001896066099</v>
      </c>
      <c r="D142" s="176">
        <f t="shared" si="44"/>
        <v>0.63011001896066099</v>
      </c>
      <c r="E142" s="176">
        <f t="shared" si="45"/>
        <v>0.58971835107856729</v>
      </c>
      <c r="F142" s="147"/>
      <c r="G142" s="147"/>
      <c r="H142" s="147"/>
      <c r="I142" s="147"/>
      <c r="J142" s="147"/>
    </row>
    <row r="143" spans="1:10" outlineLevel="1">
      <c r="A143" s="57"/>
      <c r="B143" s="57">
        <f t="shared" si="42"/>
        <v>0.70000000000000007</v>
      </c>
      <c r="C143" s="176">
        <f t="shared" si="43"/>
        <v>0.66683439644748832</v>
      </c>
      <c r="D143" s="176">
        <f t="shared" si="44"/>
        <v>0.66683439644748832</v>
      </c>
      <c r="E143" s="176">
        <f t="shared" si="45"/>
        <v>0.62408860180341841</v>
      </c>
      <c r="F143" s="147"/>
      <c r="G143" s="147"/>
      <c r="H143" s="147"/>
      <c r="I143" s="147"/>
      <c r="J143" s="147"/>
    </row>
    <row r="144" spans="1:10" outlineLevel="1">
      <c r="A144" s="57"/>
      <c r="B144" s="57">
        <f t="shared" si="42"/>
        <v>0.75000000000000011</v>
      </c>
      <c r="C144" s="176">
        <f t="shared" si="43"/>
        <v>0.69906551250529614</v>
      </c>
      <c r="D144" s="176">
        <f t="shared" si="44"/>
        <v>0.69906551250529614</v>
      </c>
      <c r="E144" s="176">
        <f t="shared" si="45"/>
        <v>0.65425362067803339</v>
      </c>
      <c r="F144" s="147"/>
      <c r="G144" s="147"/>
      <c r="H144" s="147"/>
      <c r="I144" s="147"/>
      <c r="J144" s="147"/>
    </row>
    <row r="145" spans="1:10" outlineLevel="1">
      <c r="A145" s="57"/>
      <c r="B145" s="57">
        <f t="shared" si="42"/>
        <v>0.80000000000000016</v>
      </c>
      <c r="C145" s="176">
        <f t="shared" si="43"/>
        <v>0.7263948350290218</v>
      </c>
      <c r="D145" s="176">
        <f t="shared" si="44"/>
        <v>0.7263948350290218</v>
      </c>
      <c r="E145" s="176">
        <f t="shared" si="45"/>
        <v>0.67983106355280232</v>
      </c>
      <c r="F145" s="147"/>
      <c r="G145" s="147"/>
      <c r="H145" s="147"/>
      <c r="I145" s="147"/>
      <c r="J145" s="147"/>
    </row>
    <row r="146" spans="1:10" outlineLevel="1">
      <c r="A146" s="57"/>
      <c r="B146" s="57">
        <f t="shared" si="42"/>
        <v>0.8500000000000002</v>
      </c>
      <c r="C146" s="176">
        <f t="shared" si="43"/>
        <v>0.74845246464470438</v>
      </c>
      <c r="D146" s="176">
        <f t="shared" si="44"/>
        <v>0.74845246464470438</v>
      </c>
      <c r="E146" s="176">
        <f t="shared" si="45"/>
        <v>0.70047474255209508</v>
      </c>
      <c r="F146" s="147"/>
      <c r="G146" s="147"/>
      <c r="H146" s="147"/>
      <c r="I146" s="147"/>
      <c r="J146" s="147"/>
    </row>
    <row r="147" spans="1:10" outlineLevel="1">
      <c r="A147" s="57"/>
      <c r="B147" s="57">
        <f t="shared" si="42"/>
        <v>0.90000000000000024</v>
      </c>
      <c r="C147" s="176">
        <f t="shared" si="43"/>
        <v>0.76490713470948513</v>
      </c>
      <c r="D147" s="176">
        <f t="shared" si="44"/>
        <v>0.76490713470948513</v>
      </c>
      <c r="E147" s="176">
        <f t="shared" si="45"/>
        <v>0.71587462607426167</v>
      </c>
      <c r="F147" s="147"/>
      <c r="G147" s="147"/>
      <c r="H147" s="147"/>
      <c r="I147" s="147"/>
      <c r="J147" s="147"/>
    </row>
    <row r="148" spans="1:10" outlineLevel="1">
      <c r="A148" s="57"/>
      <c r="B148" s="57">
        <f t="shared" si="42"/>
        <v>0.95000000000000029</v>
      </c>
      <c r="C148" s="176">
        <f t="shared" si="43"/>
        <v>0.77546621131160665</v>
      </c>
      <c r="D148" s="176">
        <f t="shared" si="44"/>
        <v>0.77546621131160665</v>
      </c>
      <c r="E148" s="176">
        <f t="shared" si="45"/>
        <v>0.72575683879163178</v>
      </c>
      <c r="F148" s="147"/>
      <c r="G148" s="147"/>
      <c r="H148" s="147"/>
      <c r="I148" s="147"/>
      <c r="J148" s="147"/>
    </row>
    <row r="149" spans="1:10" outlineLevel="1">
      <c r="A149" s="57"/>
      <c r="B149" s="57">
        <f t="shared" si="42"/>
        <v>1.0000000000000002</v>
      </c>
      <c r="C149" s="176">
        <f t="shared" si="43"/>
        <v>0.77987569327041351</v>
      </c>
      <c r="D149" s="176">
        <f t="shared" si="44"/>
        <v>0.77987569327041351</v>
      </c>
      <c r="E149" s="176">
        <f t="shared" si="45"/>
        <v>0.7298836616505151</v>
      </c>
    </row>
    <row r="150" spans="1:10" outlineLevel="1">
      <c r="A150" s="57"/>
      <c r="B150" s="57">
        <f t="shared" si="42"/>
        <v>1.0500000000000003</v>
      </c>
      <c r="C150" s="176">
        <f t="shared" si="43"/>
        <v>0.77792021213635165</v>
      </c>
      <c r="D150" s="176">
        <f t="shared" si="44"/>
        <v>0.77792021213635165</v>
      </c>
      <c r="E150" s="176">
        <f t="shared" si="45"/>
        <v>0.72805353187120092</v>
      </c>
    </row>
    <row r="151" spans="1:10" outlineLevel="1">
      <c r="A151" s="57"/>
      <c r="B151" s="57">
        <f t="shared" si="42"/>
        <v>1.1000000000000003</v>
      </c>
      <c r="C151" s="176">
        <f t="shared" si="43"/>
        <v>0.76942303219096997</v>
      </c>
      <c r="D151" s="176">
        <f t="shared" si="44"/>
        <v>0.76942303219096997</v>
      </c>
      <c r="E151" s="176">
        <f t="shared" si="45"/>
        <v>0.72010104294795907</v>
      </c>
    </row>
    <row r="152" spans="1:10" outlineLevel="1">
      <c r="A152" s="57"/>
      <c r="B152" s="57">
        <f t="shared" si="42"/>
        <v>1.1500000000000004</v>
      </c>
      <c r="C152" s="176">
        <f t="shared" si="43"/>
        <v>0.75424605044691839</v>
      </c>
      <c r="D152" s="176">
        <f t="shared" si="44"/>
        <v>0.75424605044691839</v>
      </c>
      <c r="E152" s="176">
        <f t="shared" si="45"/>
        <v>0.70589694464903885</v>
      </c>
    </row>
    <row r="153" spans="1:10" outlineLevel="1">
      <c r="A153" s="57"/>
      <c r="B153" s="57">
        <f t="shared" si="42"/>
        <v>1.2000000000000004</v>
      </c>
      <c r="C153" s="176">
        <f t="shared" si="43"/>
        <v>0.7322897966479478</v>
      </c>
      <c r="D153" s="176">
        <f t="shared" si="44"/>
        <v>0.7322897966479478</v>
      </c>
      <c r="E153" s="176">
        <f t="shared" si="45"/>
        <v>0.68534814301666902</v>
      </c>
      <c r="G153" s="148" t="s">
        <v>182</v>
      </c>
    </row>
    <row r="154" spans="1:10" ht="16.5" outlineLevel="1">
      <c r="A154" s="57"/>
      <c r="B154" s="57">
        <f t="shared" si="42"/>
        <v>1.2500000000000004</v>
      </c>
      <c r="C154" s="176">
        <f t="shared" si="43"/>
        <v>0.70349343326891334</v>
      </c>
      <c r="D154" s="176">
        <f t="shared" si="44"/>
        <v>0.70349343326891334</v>
      </c>
      <c r="E154" s="176">
        <f t="shared" si="45"/>
        <v>0.6583977003670598</v>
      </c>
      <c r="G154" s="148" t="s">
        <v>183</v>
      </c>
    </row>
    <row r="155" spans="1:10" outlineLevel="1">
      <c r="A155" s="57"/>
      <c r="B155" s="57">
        <f t="shared" si="42"/>
        <v>1.3000000000000005</v>
      </c>
      <c r="C155" s="176">
        <f t="shared" si="43"/>
        <v>0.66783475551576954</v>
      </c>
      <c r="D155" s="176">
        <f t="shared" si="44"/>
        <v>0.66783475551576954</v>
      </c>
      <c r="E155" s="176">
        <f t="shared" si="45"/>
        <v>0.62502483529039965</v>
      </c>
      <c r="H155" s="149" t="s">
        <v>184</v>
      </c>
    </row>
    <row r="156" spans="1:10" outlineLevel="1">
      <c r="A156" s="57"/>
      <c r="B156" s="57">
        <f t="shared" si="42"/>
        <v>1.3500000000000005</v>
      </c>
      <c r="C156" s="176">
        <f t="shared" si="43"/>
        <v>0.62533019132557388</v>
      </c>
      <c r="D156" s="176">
        <f t="shared" si="44"/>
        <v>0.62533019132557388</v>
      </c>
      <c r="E156" s="176">
        <f t="shared" si="45"/>
        <v>0.58524492265085759</v>
      </c>
      <c r="H156" s="150" t="s">
        <v>185</v>
      </c>
    </row>
    <row r="157" spans="1:10" outlineLevel="1">
      <c r="A157" s="57"/>
      <c r="B157" s="57">
        <f t="shared" si="42"/>
        <v>1.4000000000000006</v>
      </c>
      <c r="C157" s="176">
        <f t="shared" si="43"/>
        <v>0.57603480136648577</v>
      </c>
      <c r="D157" s="176">
        <f t="shared" si="44"/>
        <v>0.57603480136648577</v>
      </c>
      <c r="E157" s="176">
        <f t="shared" si="45"/>
        <v>0.53910949358658278</v>
      </c>
    </row>
    <row r="158" spans="1:10" outlineLevel="1">
      <c r="A158" s="57"/>
      <c r="B158" s="57">
        <f t="shared" si="42"/>
        <v>1.4500000000000006</v>
      </c>
      <c r="C158" s="176">
        <f t="shared" si="43"/>
        <v>0.5200422790377659</v>
      </c>
      <c r="D158" s="176">
        <f t="shared" si="44"/>
        <v>0.5200422790377659</v>
      </c>
      <c r="E158" s="176">
        <f t="shared" si="45"/>
        <v>0.48670623550970399</v>
      </c>
    </row>
    <row r="159" spans="1:10" outlineLevel="1">
      <c r="A159" s="57"/>
      <c r="B159" s="57">
        <f t="shared" si="42"/>
        <v>1.5000000000000007</v>
      </c>
      <c r="C159" s="176">
        <f t="shared" si="43"/>
        <v>0.45748495046977738</v>
      </c>
      <c r="D159" s="176">
        <f t="shared" si="44"/>
        <v>0.45748495046977738</v>
      </c>
      <c r="E159" s="176">
        <f t="shared" si="45"/>
        <v>0.42815899210633013</v>
      </c>
    </row>
    <row r="160" spans="1:10" outlineLevel="1">
      <c r="A160" s="57"/>
      <c r="B160" s="57"/>
      <c r="C160" s="57"/>
      <c r="D160" s="173"/>
    </row>
    <row r="161" spans="1:4">
      <c r="A161" s="57"/>
      <c r="B161" s="57"/>
      <c r="C161" s="57"/>
      <c r="D161" s="173"/>
    </row>
  </sheetData>
  <phoneticPr fontId="10" type="noConversion"/>
  <conditionalFormatting sqref="E99:I99 E65:I65 E30:I30">
    <cfRule type="expression" dxfId="0" priority="1" stopIfTrue="1">
      <formula>E30*0.9&gt;$D30</formula>
    </cfRule>
  </conditionalFormatting>
  <pageMargins left="0.75" right="0.75" top="1" bottom="1" header="0.4921259845" footer="0.4921259845"/>
  <pageSetup paperSize="9" orientation="portrait" r:id="rId1"/>
  <headerFooter alignWithMargins="0"/>
  <drawing r:id="rId2"/>
  <legacyDrawing r:id="rId3"/>
  <oleObjects>
    <oleObject progId="Equation.3" shapeId="90127" r:id="rId4"/>
  </oleObjects>
  <controls>
    <control shapeId="90128" r:id="rId5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9">
    <outlinePr summaryBelow="0" summaryRight="0"/>
  </sheetPr>
  <dimension ref="A3:L218"/>
  <sheetViews>
    <sheetView topLeftCell="A2" workbookViewId="0">
      <selection activeCell="F30" sqref="F30"/>
    </sheetView>
  </sheetViews>
  <sheetFormatPr defaultColWidth="11.42578125" defaultRowHeight="12.75" outlineLevelRow="1"/>
  <cols>
    <col min="1" max="1" width="11.42578125" style="54" customWidth="1"/>
    <col min="2" max="2" width="10.7109375" style="54" bestFit="1" customWidth="1"/>
    <col min="3" max="3" width="12.42578125" style="54" bestFit="1" customWidth="1"/>
    <col min="4" max="4" width="11.42578125" style="54" customWidth="1"/>
    <col min="5" max="5" width="12.42578125" style="54" bestFit="1" customWidth="1"/>
    <col min="6" max="6" width="13" style="54" customWidth="1"/>
    <col min="7" max="16384" width="11.42578125" style="54"/>
  </cols>
  <sheetData>
    <row r="3" spans="2:9">
      <c r="B3" s="53" t="s">
        <v>146</v>
      </c>
      <c r="C3" s="53"/>
      <c r="D3" s="53"/>
      <c r="E3" s="53"/>
      <c r="F3" s="53"/>
      <c r="G3" s="53"/>
      <c r="H3" s="53"/>
      <c r="I3" s="53"/>
    </row>
    <row r="4" spans="2:9" outlineLevel="1"/>
    <row r="5" spans="2:9" ht="13.5" outlineLevel="1" thickBot="1">
      <c r="B5" s="135" t="s">
        <v>204</v>
      </c>
      <c r="C5" s="134"/>
      <c r="D5" s="134"/>
      <c r="E5" s="134"/>
      <c r="F5" s="134"/>
      <c r="G5" s="134"/>
      <c r="H5" s="134"/>
      <c r="I5" s="134"/>
    </row>
    <row r="6" spans="2:9" outlineLevel="1"/>
    <row r="7" spans="2:9" outlineLevel="1">
      <c r="D7" s="136" t="s">
        <v>204</v>
      </c>
      <c r="F7" s="136" t="s">
        <v>205</v>
      </c>
      <c r="G7" s="136" t="s">
        <v>205</v>
      </c>
    </row>
    <row r="8" spans="2:9" outlineLevel="1">
      <c r="D8" s="146" t="s">
        <v>175</v>
      </c>
      <c r="F8" s="146" t="s">
        <v>175</v>
      </c>
      <c r="G8" s="146" t="s">
        <v>175</v>
      </c>
    </row>
    <row r="9" spans="2:9" outlineLevel="1">
      <c r="B9" s="54" t="s">
        <v>167</v>
      </c>
      <c r="C9" s="54" t="s">
        <v>84</v>
      </c>
      <c r="D9" s="151">
        <v>85.5</v>
      </c>
      <c r="F9" s="151">
        <v>54.42</v>
      </c>
      <c r="G9" s="151">
        <v>54.42</v>
      </c>
    </row>
    <row r="10" spans="2:9" outlineLevel="1">
      <c r="B10" s="54" t="s">
        <v>171</v>
      </c>
      <c r="C10" s="54" t="s">
        <v>110</v>
      </c>
      <c r="D10" s="151">
        <v>13.05</v>
      </c>
      <c r="F10" s="151">
        <v>8.2550000000000008</v>
      </c>
      <c r="G10" s="151">
        <v>13</v>
      </c>
    </row>
    <row r="11" spans="2:9" outlineLevel="1">
      <c r="B11" s="54" t="s">
        <v>173</v>
      </c>
      <c r="C11" s="54" t="s">
        <v>87</v>
      </c>
      <c r="D11" s="151">
        <v>77.8</v>
      </c>
      <c r="F11" s="151">
        <v>78.180000000000007</v>
      </c>
      <c r="G11" s="151">
        <v>300</v>
      </c>
    </row>
    <row r="12" spans="2:9" outlineLevel="1">
      <c r="B12" s="54" t="s">
        <v>172</v>
      </c>
      <c r="C12" s="54" t="s">
        <v>110</v>
      </c>
      <c r="D12" s="151">
        <v>2.2000000000000002</v>
      </c>
      <c r="F12" s="151">
        <v>1.5</v>
      </c>
      <c r="G12" s="151">
        <v>1.5</v>
      </c>
    </row>
    <row r="13" spans="2:9" outlineLevel="1">
      <c r="B13" s="54" t="s">
        <v>174</v>
      </c>
      <c r="C13" s="54" t="s">
        <v>87</v>
      </c>
      <c r="D13" s="152">
        <f>T2_turb(11,D10,D11,D12,D14)</f>
        <v>49.006107542033732</v>
      </c>
      <c r="F13" s="152">
        <f>T2_turb(11,F10,F11,F12,F14/100)</f>
        <v>78.223745677144805</v>
      </c>
      <c r="G13" s="152">
        <f>T2_turb(11,G10,G11,G12,G14/100)</f>
        <v>299.93353041117587</v>
      </c>
    </row>
    <row r="14" spans="2:9" outlineLevel="1">
      <c r="B14" s="54" t="s">
        <v>211</v>
      </c>
      <c r="C14" s="54" t="s">
        <v>106</v>
      </c>
      <c r="D14" s="167">
        <v>0.73</v>
      </c>
      <c r="F14" s="169">
        <f>(0.321*F29^4-1.6098*F29^3+1.316*F29^2+0.9448*F29)*($D$14/0.97)</f>
        <v>0.70310666559867141</v>
      </c>
      <c r="G14" s="169">
        <f>(0.321*G29^4-1.6098*G29^3+1.316*G29^2+0.9448*G29)*($D$14/0.97)</f>
        <v>0.44877494319821531</v>
      </c>
    </row>
    <row r="15" spans="2:9" outlineLevel="1">
      <c r="B15" s="54" t="s">
        <v>169</v>
      </c>
      <c r="C15" s="54" t="s">
        <v>123</v>
      </c>
      <c r="D15" s="170">
        <f>+D9*(D19-D20)</f>
        <v>13036.076127999762</v>
      </c>
      <c r="F15" s="170">
        <f>+F9*(F19-F20)</f>
        <v>77.543732266607435</v>
      </c>
      <c r="G15" s="170">
        <f>+G9*(G19-G20)</f>
        <v>220.94714674766541</v>
      </c>
    </row>
    <row r="16" spans="2:9" outlineLevel="1">
      <c r="B16" s="54" t="s">
        <v>213</v>
      </c>
      <c r="C16" s="54" t="s">
        <v>118</v>
      </c>
      <c r="D16" s="153">
        <v>2000</v>
      </c>
      <c r="F16" s="153">
        <v>1680.4730354892631</v>
      </c>
      <c r="G16" s="153">
        <v>2000</v>
      </c>
    </row>
    <row r="17" spans="2:7" outlineLevel="1">
      <c r="B17" s="54" t="s">
        <v>212</v>
      </c>
      <c r="C17" s="54" t="s">
        <v>168</v>
      </c>
      <c r="D17" s="152">
        <v>25.5</v>
      </c>
      <c r="F17" s="152">
        <v>25.5</v>
      </c>
      <c r="G17" s="152">
        <v>25.5</v>
      </c>
    </row>
    <row r="18" spans="2:7" outlineLevel="1">
      <c r="B18" s="165" t="s">
        <v>208</v>
      </c>
      <c r="D18" s="162">
        <f>D9*D11^0.5/D10</f>
        <v>57.789029565903299</v>
      </c>
      <c r="F18" s="162">
        <f>+$D$18</f>
        <v>57.789029565903299</v>
      </c>
      <c r="G18" s="162">
        <f>+$D$18</f>
        <v>57.789029565903299</v>
      </c>
    </row>
    <row r="19" spans="2:7" outlineLevel="1">
      <c r="B19" s="54" t="s">
        <v>190</v>
      </c>
      <c r="D19" s="168">
        <f>H_(11,D10,D11)</f>
        <v>422.47297468433658</v>
      </c>
      <c r="F19" s="154">
        <f>H_(11,F10,F11)</f>
        <v>423.28588177263975</v>
      </c>
      <c r="G19" s="154">
        <f>H_(11,G10,G11)</f>
        <v>1577.3909298783046</v>
      </c>
    </row>
    <row r="20" spans="2:7" outlineLevel="1">
      <c r="B20" s="54" t="s">
        <v>191</v>
      </c>
      <c r="D20" s="168">
        <f>H_(11,D12,D13)</f>
        <v>270.0042480410645</v>
      </c>
      <c r="F20" s="154">
        <f>H_(11,F12,F13)</f>
        <v>421.86096938258817</v>
      </c>
      <c r="G20" s="154">
        <f>H_(11,G12,G13)</f>
        <v>1573.3308941056537</v>
      </c>
    </row>
    <row r="21" spans="2:7" outlineLevel="1">
      <c r="B21" s="54" t="s">
        <v>192</v>
      </c>
      <c r="D21" s="168">
        <f>S_(11,D10,D11)</f>
        <v>19.258215027248038</v>
      </c>
      <c r="F21" s="154">
        <f>S_(11,F10,F11)</f>
        <v>20.238081019840216</v>
      </c>
      <c r="G21" s="154">
        <f>S_(11,G10,G11)</f>
        <v>26.285246564104739</v>
      </c>
    </row>
    <row r="22" spans="2:7" outlineLevel="1">
      <c r="B22" s="54" t="s">
        <v>193</v>
      </c>
      <c r="D22" s="168">
        <f>[7]!HeCalc(2,0,1,D12*10^5,8,D21*1000,1)</f>
        <v>38.196467453647408</v>
      </c>
      <c r="F22" s="97">
        <f>[7]!HeCalc(2,0,1,F12*10^5,8,F21*1000,1)</f>
        <v>39.540978564400405</v>
      </c>
      <c r="G22" s="97">
        <f>[7]!HeCalc(2,0,1,G12*10^5,8,G21*1000,1)</f>
        <v>126.50772049015001</v>
      </c>
    </row>
    <row r="23" spans="2:7" outlineLevel="1">
      <c r="B23" s="54" t="s">
        <v>194</v>
      </c>
      <c r="D23" s="168">
        <f>H_(11,D12,D22)</f>
        <v>213.61170530999132</v>
      </c>
      <c r="F23" s="154">
        <f>H_(11,F12,F22)</f>
        <v>220.62639072110741</v>
      </c>
      <c r="G23" s="154">
        <f>H_(11,G12,G22)</f>
        <v>672.69786727065264</v>
      </c>
    </row>
    <row r="24" spans="2:7" outlineLevel="1">
      <c r="B24" s="54" t="s">
        <v>195</v>
      </c>
      <c r="D24" s="168">
        <f>D19-D23</f>
        <v>208.86126937434526</v>
      </c>
      <c r="F24" s="154">
        <f>F19-F23</f>
        <v>202.65949105153234</v>
      </c>
      <c r="G24" s="154">
        <f>G19-G23</f>
        <v>904.693062607652</v>
      </c>
    </row>
    <row r="25" spans="2:7" outlineLevel="1">
      <c r="B25" s="155" t="s">
        <v>222</v>
      </c>
      <c r="C25" s="54" t="s">
        <v>88</v>
      </c>
      <c r="D25" s="171">
        <f>(2*52.7%*D24*1000*D14)^0.5</f>
        <v>400.87658684688574</v>
      </c>
      <c r="F25" s="171">
        <f>PI()*$D$26*F16</f>
        <v>336.83114737758063</v>
      </c>
      <c r="G25" s="171">
        <f>PI()*$D$26*G16</f>
        <v>400.87658684688574</v>
      </c>
    </row>
    <row r="26" spans="2:7" outlineLevel="1">
      <c r="B26" s="155" t="s">
        <v>219</v>
      </c>
      <c r="D26" s="172">
        <f>D25/PI()/D16</f>
        <v>6.3801490366489341E-2</v>
      </c>
      <c r="F26" s="154"/>
      <c r="G26" s="154"/>
    </row>
    <row r="27" spans="2:7" outlineLevel="1">
      <c r="B27" s="54" t="s">
        <v>189</v>
      </c>
      <c r="D27" s="154">
        <f>(2000*D24)^0.5</f>
        <v>646.31458187843054</v>
      </c>
      <c r="F27" s="154">
        <f>(2000*F24)^0.5</f>
        <v>636.64666974944953</v>
      </c>
      <c r="G27" s="154">
        <f>(2000*G24)^0.5</f>
        <v>1345.1342405928503</v>
      </c>
    </row>
    <row r="28" spans="2:7" outlineLevel="1">
      <c r="B28" s="54" t="s">
        <v>180</v>
      </c>
      <c r="D28" s="133">
        <f>D25/D27</f>
        <v>0.62024994961708779</v>
      </c>
      <c r="F28" s="133">
        <f>F25/F27</f>
        <v>0.52907077564725125</v>
      </c>
      <c r="G28" s="133">
        <f>G25/G27</f>
        <v>0.29801976245151907</v>
      </c>
    </row>
    <row r="29" spans="2:7" outlineLevel="1">
      <c r="B29" s="54" t="s">
        <v>221</v>
      </c>
      <c r="D29" s="55">
        <f>D28/$D$28</f>
        <v>1</v>
      </c>
      <c r="F29" s="177">
        <f>F28/$D$28</f>
        <v>0.85299608000592964</v>
      </c>
      <c r="G29" s="177">
        <f>G28/$D$28</f>
        <v>0.4804833319785064</v>
      </c>
    </row>
    <row r="30" spans="2:7" outlineLevel="1">
      <c r="B30" s="54" t="s">
        <v>181</v>
      </c>
      <c r="D30" s="169">
        <f>(0.321*D29^4-1.6098*D29^3+1.316*D29^2+0.9448*D29)*($D$14/0.97)</f>
        <v>0.73150515463917531</v>
      </c>
      <c r="F30" s="169">
        <f>(0.321*F29^4-1.6098*F29^3+1.316*F29^2+0.9448*F29)*($D$14/0.97)</f>
        <v>0.70310666559867141</v>
      </c>
      <c r="G30" s="169">
        <f>(0.321*G29^4-1.6098*G29^3+1.316*G29^2+0.9448*G29)*($D$14/0.97)</f>
        <v>0.44877494319821531</v>
      </c>
    </row>
    <row r="31" spans="2:7" outlineLevel="1">
      <c r="D31" s="169"/>
      <c r="F31" s="169"/>
      <c r="G31" s="169"/>
    </row>
    <row r="32" spans="2:7" outlineLevel="1">
      <c r="D32" s="169"/>
      <c r="F32" s="169"/>
      <c r="G32" s="169"/>
    </row>
    <row r="33" spans="2:10" outlineLevel="1">
      <c r="D33" s="169"/>
      <c r="F33" s="169"/>
      <c r="G33" s="169"/>
    </row>
    <row r="34" spans="2:10" outlineLevel="1">
      <c r="F34" s="147"/>
      <c r="G34" s="147"/>
    </row>
    <row r="35" spans="2:10">
      <c r="F35" s="147"/>
      <c r="G35" s="147"/>
    </row>
    <row r="36" spans="2:10">
      <c r="B36" s="53" t="s">
        <v>207</v>
      </c>
      <c r="C36" s="53"/>
      <c r="D36" s="53"/>
      <c r="E36" s="53"/>
      <c r="F36" s="53"/>
      <c r="G36" s="53"/>
      <c r="H36" s="53"/>
      <c r="I36" s="53"/>
    </row>
    <row r="37" spans="2:10" outlineLevel="1"/>
    <row r="38" spans="2:10" ht="13.5" outlineLevel="1" thickBot="1"/>
    <row r="39" spans="2:10" outlineLevel="1">
      <c r="B39" s="156"/>
      <c r="C39" s="139"/>
      <c r="D39" s="139"/>
      <c r="E39" s="139"/>
      <c r="F39" s="157"/>
    </row>
    <row r="40" spans="2:10" outlineLevel="1">
      <c r="B40" s="158"/>
      <c r="C40" s="57"/>
      <c r="D40" s="57"/>
      <c r="E40" s="57" t="s">
        <v>186</v>
      </c>
      <c r="F40" s="138"/>
    </row>
    <row r="41" spans="2:10" outlineLevel="1">
      <c r="B41" s="158"/>
      <c r="C41" s="57"/>
      <c r="D41" s="57"/>
      <c r="E41" s="57" t="s">
        <v>187</v>
      </c>
      <c r="F41" s="138"/>
    </row>
    <row r="42" spans="2:10" outlineLevel="1">
      <c r="B42" s="158"/>
      <c r="D42" s="57"/>
      <c r="E42" s="159" t="s">
        <v>188</v>
      </c>
      <c r="F42" s="138"/>
    </row>
    <row r="43" spans="2:10" outlineLevel="1">
      <c r="B43" s="158"/>
      <c r="D43" s="57"/>
      <c r="E43" s="57"/>
      <c r="F43" s="138"/>
    </row>
    <row r="44" spans="2:10" outlineLevel="1">
      <c r="B44" s="158"/>
      <c r="D44" s="57"/>
      <c r="E44" s="57"/>
      <c r="F44" s="138"/>
    </row>
    <row r="45" spans="2:10" ht="13.5" outlineLevel="1" thickBot="1">
      <c r="B45" s="160"/>
      <c r="C45" s="134"/>
      <c r="D45" s="134"/>
      <c r="E45" s="134"/>
      <c r="F45" s="161"/>
    </row>
    <row r="46" spans="2:10" outlineLevel="1"/>
    <row r="47" spans="2:10" outlineLevel="1"/>
    <row r="48" spans="2:10" outlineLevel="1">
      <c r="B48" s="147" t="s">
        <v>177</v>
      </c>
      <c r="C48" s="147"/>
      <c r="D48" s="147"/>
      <c r="E48" s="147"/>
      <c r="F48" s="147"/>
      <c r="G48" s="147"/>
      <c r="H48" s="147"/>
      <c r="I48" s="147" t="s">
        <v>178</v>
      </c>
      <c r="J48" s="147">
        <v>0.64</v>
      </c>
    </row>
    <row r="49" spans="1:10" outlineLevel="1">
      <c r="A49" s="57"/>
      <c r="B49" s="173"/>
      <c r="C49" s="173"/>
      <c r="D49" s="173"/>
      <c r="E49" s="147"/>
      <c r="F49" s="147"/>
      <c r="G49" s="147"/>
      <c r="H49" s="147"/>
      <c r="I49" s="147" t="s">
        <v>179</v>
      </c>
      <c r="J49" s="147">
        <v>0.8</v>
      </c>
    </row>
    <row r="50" spans="1:10" outlineLevel="1">
      <c r="A50" s="57"/>
      <c r="B50" s="174" t="s">
        <v>220</v>
      </c>
      <c r="C50" s="175">
        <v>0.73</v>
      </c>
      <c r="D50" s="173"/>
      <c r="E50" s="147"/>
      <c r="F50" s="147"/>
      <c r="G50" s="147"/>
      <c r="H50" s="147"/>
      <c r="I50" s="147"/>
      <c r="J50" s="147"/>
    </row>
    <row r="51" spans="1:10" outlineLevel="1">
      <c r="A51" s="57"/>
      <c r="B51" s="57">
        <v>0</v>
      </c>
      <c r="C51" s="140">
        <f t="shared" ref="C51:C81" si="0">(0.321*B51^4-1.6098*B51^3+1.316*B51^2+0.9448*B51)*$D$14/0.97215493</f>
        <v>0</v>
      </c>
      <c r="D51" s="173"/>
      <c r="E51" s="147"/>
      <c r="F51" s="147"/>
      <c r="G51" s="147"/>
      <c r="H51" s="147"/>
      <c r="I51" s="147"/>
      <c r="J51" s="147"/>
    </row>
    <row r="52" spans="1:10" outlineLevel="1">
      <c r="A52" s="57"/>
      <c r="B52" s="57">
        <f t="shared" ref="B52:B81" si="1">B51+0.05</f>
        <v>0.05</v>
      </c>
      <c r="C52" s="176">
        <f t="shared" si="0"/>
        <v>3.7793842502552556E-2</v>
      </c>
      <c r="D52" s="173"/>
      <c r="E52" s="147"/>
      <c r="F52" s="147"/>
      <c r="G52" s="147"/>
      <c r="H52" s="147"/>
      <c r="I52" s="147"/>
      <c r="J52" s="147"/>
    </row>
    <row r="53" spans="1:10" outlineLevel="1">
      <c r="A53" s="57"/>
      <c r="B53" s="57">
        <f t="shared" si="1"/>
        <v>0.1</v>
      </c>
      <c r="C53" s="176">
        <f t="shared" si="0"/>
        <v>7.964314803197059E-2</v>
      </c>
      <c r="D53" s="173"/>
      <c r="E53" s="147"/>
      <c r="F53" s="147"/>
      <c r="G53" s="147"/>
      <c r="H53" s="147"/>
      <c r="I53" s="147"/>
      <c r="J53" s="147"/>
    </row>
    <row r="54" spans="1:10" outlineLevel="1">
      <c r="A54" s="57"/>
      <c r="B54" s="57">
        <f t="shared" si="1"/>
        <v>0.15000000000000002</v>
      </c>
      <c r="C54" s="176">
        <f t="shared" si="0"/>
        <v>0.12469554087690531</v>
      </c>
      <c r="D54" s="173"/>
      <c r="E54" s="147"/>
      <c r="F54" s="147"/>
      <c r="G54" s="147"/>
      <c r="H54" s="147"/>
      <c r="I54" s="147"/>
      <c r="J54" s="147"/>
    </row>
    <row r="55" spans="1:10" outlineLevel="1">
      <c r="A55" s="57"/>
      <c r="B55" s="57">
        <f t="shared" si="1"/>
        <v>0.2</v>
      </c>
      <c r="C55" s="176">
        <f t="shared" si="0"/>
        <v>0.17213480159998779</v>
      </c>
      <c r="D55" s="173"/>
      <c r="E55" s="147"/>
      <c r="F55" s="147"/>
      <c r="G55" s="147"/>
      <c r="H55" s="147"/>
      <c r="I55" s="147"/>
      <c r="J55" s="147"/>
    </row>
    <row r="56" spans="1:10" outlineLevel="1">
      <c r="A56" s="57"/>
      <c r="B56" s="57">
        <f t="shared" si="1"/>
        <v>0.25</v>
      </c>
      <c r="C56" s="176">
        <f t="shared" si="0"/>
        <v>0.22118086703782905</v>
      </c>
      <c r="D56" s="173"/>
      <c r="E56" s="147"/>
      <c r="F56" s="147"/>
      <c r="G56" s="147"/>
      <c r="H56" s="147"/>
      <c r="I56" s="147"/>
      <c r="J56" s="147"/>
    </row>
    <row r="57" spans="1:10" outlineLevel="1">
      <c r="A57" s="57"/>
      <c r="B57" s="57">
        <f t="shared" si="1"/>
        <v>0.3</v>
      </c>
      <c r="C57" s="176">
        <f t="shared" si="0"/>
        <v>0.27108983030102002</v>
      </c>
      <c r="D57" s="173"/>
      <c r="E57" s="147"/>
      <c r="F57" s="147"/>
      <c r="G57" s="147"/>
      <c r="H57" s="147"/>
      <c r="I57" s="147"/>
      <c r="J57" s="147"/>
    </row>
    <row r="58" spans="1:10" outlineLevel="1">
      <c r="A58" s="57"/>
      <c r="B58" s="57">
        <f t="shared" si="1"/>
        <v>0.35</v>
      </c>
      <c r="C58" s="176">
        <f t="shared" si="0"/>
        <v>0.32115394077413151</v>
      </c>
      <c r="D58" s="173"/>
      <c r="E58" s="147"/>
      <c r="F58" s="147"/>
      <c r="G58" s="147"/>
      <c r="H58" s="147"/>
      <c r="I58" s="147"/>
      <c r="J58" s="147"/>
    </row>
    <row r="59" spans="1:10" outlineLevel="1">
      <c r="A59" s="57"/>
      <c r="B59" s="57">
        <f t="shared" si="1"/>
        <v>0.39999999999999997</v>
      </c>
      <c r="C59" s="176">
        <f t="shared" si="0"/>
        <v>0.37070160411571434</v>
      </c>
      <c r="D59" s="173"/>
      <c r="E59" s="147"/>
      <c r="F59" s="147"/>
      <c r="G59" s="147"/>
      <c r="H59" s="147"/>
      <c r="I59" s="147"/>
      <c r="J59" s="147"/>
    </row>
    <row r="60" spans="1:10" outlineLevel="1">
      <c r="A60" s="57"/>
      <c r="B60" s="57">
        <f t="shared" si="1"/>
        <v>0.44999999999999996</v>
      </c>
      <c r="C60" s="176">
        <f t="shared" si="0"/>
        <v>0.41909738225829907</v>
      </c>
      <c r="D60" s="173"/>
      <c r="E60" s="147"/>
      <c r="F60" s="147"/>
      <c r="G60" s="147"/>
      <c r="H60" s="147"/>
      <c r="I60" s="147"/>
      <c r="J60" s="147"/>
    </row>
    <row r="61" spans="1:10" outlineLevel="1">
      <c r="A61" s="57"/>
      <c r="B61" s="57">
        <f t="shared" si="1"/>
        <v>0.49999999999999994</v>
      </c>
      <c r="C61" s="176">
        <f t="shared" si="0"/>
        <v>0.46574199340839634</v>
      </c>
      <c r="D61" s="173"/>
      <c r="E61" s="147"/>
      <c r="F61" s="147"/>
      <c r="G61" s="147"/>
      <c r="H61" s="147"/>
      <c r="I61" s="147"/>
      <c r="J61" s="147"/>
    </row>
    <row r="62" spans="1:10" outlineLevel="1">
      <c r="A62" s="57"/>
      <c r="B62" s="57">
        <f t="shared" si="1"/>
        <v>0.54999999999999993</v>
      </c>
      <c r="C62" s="176">
        <f t="shared" si="0"/>
        <v>0.5100723120464965</v>
      </c>
      <c r="D62" s="173"/>
      <c r="E62" s="147"/>
      <c r="F62" s="147"/>
      <c r="G62" s="147"/>
      <c r="H62" s="147"/>
      <c r="I62" s="147"/>
      <c r="J62" s="147"/>
    </row>
    <row r="63" spans="1:10" outlineLevel="1">
      <c r="A63" s="57"/>
      <c r="B63" s="57">
        <f t="shared" si="1"/>
        <v>0.6</v>
      </c>
      <c r="C63" s="176">
        <f t="shared" si="0"/>
        <v>0.55156136892707008</v>
      </c>
      <c r="D63" s="173"/>
      <c r="E63" s="147"/>
      <c r="F63" s="147"/>
      <c r="G63" s="147"/>
      <c r="H63" s="147"/>
      <c r="I63" s="147"/>
      <c r="J63" s="147"/>
    </row>
    <row r="64" spans="1:10" outlineLevel="1">
      <c r="A64" s="57"/>
      <c r="B64" s="57">
        <f t="shared" si="1"/>
        <v>0.65</v>
      </c>
      <c r="C64" s="176">
        <f t="shared" si="0"/>
        <v>0.58971835107856729</v>
      </c>
      <c r="D64" s="173"/>
      <c r="E64" s="147"/>
      <c r="F64" s="147"/>
      <c r="G64" s="147"/>
      <c r="H64" s="147"/>
      <c r="I64" s="147"/>
      <c r="J64" s="147"/>
    </row>
    <row r="65" spans="1:10" outlineLevel="1">
      <c r="A65" s="57"/>
      <c r="B65" s="57">
        <f t="shared" si="1"/>
        <v>0.70000000000000007</v>
      </c>
      <c r="C65" s="176">
        <f t="shared" si="0"/>
        <v>0.62408860180341841</v>
      </c>
      <c r="D65" s="173"/>
      <c r="E65" s="147"/>
      <c r="F65" s="147"/>
      <c r="G65" s="147"/>
      <c r="H65" s="147"/>
      <c r="I65" s="147"/>
      <c r="J65" s="147"/>
    </row>
    <row r="66" spans="1:10" outlineLevel="1">
      <c r="A66" s="57"/>
      <c r="B66" s="57">
        <f t="shared" si="1"/>
        <v>0.75000000000000011</v>
      </c>
      <c r="C66" s="176">
        <f t="shared" si="0"/>
        <v>0.65425362067803339</v>
      </c>
      <c r="D66" s="173"/>
      <c r="E66" s="147"/>
      <c r="F66" s="147"/>
      <c r="G66" s="147"/>
      <c r="H66" s="147"/>
      <c r="I66" s="147"/>
      <c r="J66" s="147"/>
    </row>
    <row r="67" spans="1:10" outlineLevel="1">
      <c r="A67" s="57"/>
      <c r="B67" s="57">
        <f t="shared" si="1"/>
        <v>0.80000000000000016</v>
      </c>
      <c r="C67" s="176">
        <f t="shared" si="0"/>
        <v>0.67983106355280232</v>
      </c>
      <c r="D67" s="173"/>
      <c r="E67" s="147"/>
      <c r="F67" s="147"/>
      <c r="G67" s="147"/>
      <c r="H67" s="147"/>
      <c r="I67" s="147"/>
      <c r="J67" s="147"/>
    </row>
    <row r="68" spans="1:10" outlineLevel="1">
      <c r="A68" s="57"/>
      <c r="B68" s="57">
        <f t="shared" si="1"/>
        <v>0.8500000000000002</v>
      </c>
      <c r="C68" s="176">
        <f t="shared" si="0"/>
        <v>0.70047474255209508</v>
      </c>
      <c r="D68" s="173"/>
      <c r="E68" s="147"/>
      <c r="F68" s="147"/>
      <c r="G68" s="147"/>
      <c r="H68" s="147"/>
      <c r="I68" s="147"/>
      <c r="J68" s="147"/>
    </row>
    <row r="69" spans="1:10" outlineLevel="1">
      <c r="A69" s="57"/>
      <c r="B69" s="57">
        <f t="shared" si="1"/>
        <v>0.90000000000000024</v>
      </c>
      <c r="C69" s="176">
        <f t="shared" si="0"/>
        <v>0.71587462607426167</v>
      </c>
      <c r="D69" s="173"/>
      <c r="E69" s="147"/>
      <c r="F69" s="147"/>
      <c r="G69" s="147"/>
      <c r="H69" s="147"/>
      <c r="I69" s="147"/>
      <c r="J69" s="147"/>
    </row>
    <row r="70" spans="1:10" outlineLevel="1">
      <c r="A70" s="57"/>
      <c r="B70" s="57">
        <f t="shared" si="1"/>
        <v>0.95000000000000029</v>
      </c>
      <c r="C70" s="176">
        <f t="shared" si="0"/>
        <v>0.72575683879163178</v>
      </c>
      <c r="D70" s="173"/>
      <c r="E70" s="147"/>
      <c r="F70" s="147"/>
      <c r="G70" s="147"/>
      <c r="H70" s="147"/>
      <c r="I70" s="147"/>
      <c r="J70" s="147"/>
    </row>
    <row r="71" spans="1:10" outlineLevel="1">
      <c r="A71" s="57"/>
      <c r="B71" s="57">
        <f t="shared" si="1"/>
        <v>1.0000000000000002</v>
      </c>
      <c r="C71" s="176">
        <f t="shared" si="0"/>
        <v>0.7298836616505151</v>
      </c>
      <c r="D71" s="173"/>
    </row>
    <row r="72" spans="1:10" outlineLevel="1">
      <c r="A72" s="57"/>
      <c r="B72" s="57">
        <f t="shared" si="1"/>
        <v>1.0500000000000003</v>
      </c>
      <c r="C72" s="176">
        <f t="shared" si="0"/>
        <v>0.72805353187120092</v>
      </c>
      <c r="D72" s="173"/>
    </row>
    <row r="73" spans="1:10" outlineLevel="1">
      <c r="A73" s="57"/>
      <c r="B73" s="57">
        <f t="shared" si="1"/>
        <v>1.1000000000000003</v>
      </c>
      <c r="C73" s="176">
        <f t="shared" si="0"/>
        <v>0.72010104294795907</v>
      </c>
      <c r="D73" s="173"/>
    </row>
    <row r="74" spans="1:10" outlineLevel="1">
      <c r="A74" s="57"/>
      <c r="B74" s="57">
        <f t="shared" si="1"/>
        <v>1.1500000000000004</v>
      </c>
      <c r="C74" s="176">
        <f t="shared" si="0"/>
        <v>0.70589694464903885</v>
      </c>
      <c r="D74" s="173"/>
    </row>
    <row r="75" spans="1:10" outlineLevel="1">
      <c r="A75" s="57"/>
      <c r="B75" s="57">
        <f t="shared" si="1"/>
        <v>1.2000000000000004</v>
      </c>
      <c r="C75" s="176">
        <f t="shared" si="0"/>
        <v>0.68534814301666902</v>
      </c>
      <c r="D75" s="173"/>
      <c r="G75" s="148" t="s">
        <v>182</v>
      </c>
    </row>
    <row r="76" spans="1:10" ht="16.5" outlineLevel="1">
      <c r="A76" s="57"/>
      <c r="B76" s="57">
        <f t="shared" si="1"/>
        <v>1.2500000000000004</v>
      </c>
      <c r="C76" s="176">
        <f t="shared" si="0"/>
        <v>0.6583977003670598</v>
      </c>
      <c r="D76" s="173"/>
      <c r="G76" s="148" t="s">
        <v>183</v>
      </c>
    </row>
    <row r="77" spans="1:10" outlineLevel="1">
      <c r="A77" s="57"/>
      <c r="B77" s="57">
        <f t="shared" si="1"/>
        <v>1.3000000000000005</v>
      </c>
      <c r="C77" s="176">
        <f t="shared" si="0"/>
        <v>0.62502483529039965</v>
      </c>
      <c r="D77" s="173"/>
      <c r="H77" s="149" t="s">
        <v>184</v>
      </c>
    </row>
    <row r="78" spans="1:10" outlineLevel="1">
      <c r="A78" s="57"/>
      <c r="B78" s="57">
        <f t="shared" si="1"/>
        <v>1.3500000000000005</v>
      </c>
      <c r="C78" s="176">
        <f t="shared" si="0"/>
        <v>0.58524492265085759</v>
      </c>
      <c r="D78" s="173"/>
      <c r="H78" s="150" t="s">
        <v>185</v>
      </c>
    </row>
    <row r="79" spans="1:10" outlineLevel="1">
      <c r="A79" s="57"/>
      <c r="B79" s="57">
        <f t="shared" si="1"/>
        <v>1.4000000000000006</v>
      </c>
      <c r="C79" s="176">
        <f t="shared" si="0"/>
        <v>0.53910949358658278</v>
      </c>
      <c r="D79" s="173"/>
    </row>
    <row r="80" spans="1:10" outlineLevel="1">
      <c r="A80" s="57"/>
      <c r="B80" s="57">
        <f t="shared" si="1"/>
        <v>1.4500000000000006</v>
      </c>
      <c r="C80" s="176">
        <f t="shared" si="0"/>
        <v>0.48670623550970399</v>
      </c>
      <c r="D80" s="173"/>
    </row>
    <row r="81" spans="1:9" outlineLevel="1">
      <c r="A81" s="57"/>
      <c r="B81" s="57">
        <f t="shared" si="1"/>
        <v>1.5000000000000007</v>
      </c>
      <c r="C81" s="176">
        <f t="shared" si="0"/>
        <v>0.42815899210633013</v>
      </c>
      <c r="D81" s="173"/>
    </row>
    <row r="82" spans="1:9" outlineLevel="1">
      <c r="A82" s="57"/>
      <c r="B82" s="57"/>
      <c r="C82" s="57"/>
      <c r="D82" s="173"/>
    </row>
    <row r="83" spans="1:9">
      <c r="A83" s="57"/>
      <c r="B83" s="57"/>
      <c r="C83" s="57"/>
      <c r="D83" s="173"/>
    </row>
    <row r="84" spans="1:9" collapsed="1">
      <c r="B84" s="53" t="s">
        <v>148</v>
      </c>
      <c r="C84" s="53"/>
      <c r="D84" s="53"/>
      <c r="E84" s="53"/>
      <c r="F84" s="53"/>
      <c r="G84" s="53"/>
      <c r="H84" s="53"/>
      <c r="I84" s="53"/>
    </row>
    <row r="85" spans="1:9" hidden="1" outlineLevel="1">
      <c r="B85" s="119"/>
      <c r="C85" s="119"/>
      <c r="D85" s="119"/>
      <c r="E85" s="119"/>
      <c r="F85" s="119"/>
      <c r="G85" s="119"/>
      <c r="H85" s="119"/>
      <c r="I85" s="119"/>
    </row>
    <row r="86" spans="1:9" hidden="1" outlineLevel="1">
      <c r="B86" s="118" t="s">
        <v>159</v>
      </c>
      <c r="C86" s="115"/>
      <c r="D86" s="115"/>
      <c r="E86" s="115"/>
      <c r="F86" s="115"/>
      <c r="G86" s="115"/>
      <c r="H86" s="115"/>
      <c r="I86" s="121"/>
    </row>
    <row r="87" spans="1:9" hidden="1" outlineLevel="1">
      <c r="B87" s="120"/>
      <c r="C87" s="57"/>
      <c r="D87" s="57"/>
      <c r="E87" s="57"/>
      <c r="F87" s="57"/>
      <c r="G87" s="57"/>
      <c r="H87" s="57"/>
      <c r="I87" s="119"/>
    </row>
    <row r="88" spans="1:9" hidden="1" outlineLevel="1">
      <c r="B88" s="58" t="s">
        <v>176</v>
      </c>
      <c r="C88" s="57"/>
      <c r="D88" s="57"/>
      <c r="E88" s="57"/>
      <c r="F88" s="57"/>
      <c r="G88" s="57"/>
      <c r="H88" s="57"/>
      <c r="I88" s="119"/>
    </row>
    <row r="89" spans="1:9" hidden="1" outlineLevel="1"/>
    <row r="90" spans="1:9" s="52" customFormat="1" hidden="1" outlineLevel="1"/>
    <row r="91" spans="1:9" hidden="1" outlineLevel="1">
      <c r="B91" s="54" t="s">
        <v>160</v>
      </c>
    </row>
    <row r="92" spans="1:9" hidden="1" outlineLevel="1"/>
    <row r="93" spans="1:9" ht="25.5" hidden="1" outlineLevel="1">
      <c r="C93" s="96" t="s">
        <v>138</v>
      </c>
      <c r="D93" s="96" t="s">
        <v>139</v>
      </c>
      <c r="E93" s="96" t="s">
        <v>140</v>
      </c>
      <c r="F93" s="96" t="s">
        <v>143</v>
      </c>
    </row>
    <row r="94" spans="1:9" hidden="1" outlineLevel="1">
      <c r="C94" s="100">
        <v>15</v>
      </c>
      <c r="D94" s="100">
        <v>50</v>
      </c>
      <c r="E94" s="97">
        <f>H_(11,C94,D94)</f>
        <v>276.75621069302161</v>
      </c>
      <c r="F94" s="98">
        <f>S_(11,C94,D94)</f>
        <v>16.641543295202986</v>
      </c>
    </row>
    <row r="95" spans="1:9" hidden="1" outlineLevel="1">
      <c r="C95" s="100">
        <v>1.2</v>
      </c>
      <c r="D95" s="97">
        <f>[7]!HeCalc(2,0,1,C95*10^5,8,F95*1000,1)</f>
        <v>18.198937279834237</v>
      </c>
      <c r="E95" s="97">
        <f>H_(11,C95,D95)</f>
        <v>109.00074876964561</v>
      </c>
      <c r="F95" s="98">
        <f>F94</f>
        <v>16.641543295202986</v>
      </c>
    </row>
    <row r="96" spans="1:9" hidden="1" outlineLevel="1"/>
    <row r="97" spans="2:9" hidden="1" outlineLevel="1">
      <c r="B97" s="54" t="s">
        <v>150</v>
      </c>
      <c r="D97" s="101">
        <f>E94-E95</f>
        <v>167.755461923376</v>
      </c>
      <c r="E97" s="54" t="s">
        <v>137</v>
      </c>
    </row>
    <row r="98" spans="2:9" hidden="1" outlineLevel="1"/>
    <row r="99" spans="2:9" hidden="1" outlineLevel="1">
      <c r="B99" s="54" t="s">
        <v>149</v>
      </c>
      <c r="D99" s="54">
        <v>0.75</v>
      </c>
    </row>
    <row r="100" spans="2:9" hidden="1" outlineLevel="1"/>
    <row r="101" spans="2:9" hidden="1" outlineLevel="1">
      <c r="B101" s="54" t="s">
        <v>152</v>
      </c>
      <c r="D101" s="101">
        <f>D99*D97</f>
        <v>125.816596442532</v>
      </c>
      <c r="E101" s="54" t="s">
        <v>137</v>
      </c>
    </row>
    <row r="102" spans="2:9" hidden="1" outlineLevel="1"/>
    <row r="103" spans="2:9" hidden="1" outlineLevel="1">
      <c r="B103" s="54" t="s">
        <v>151</v>
      </c>
      <c r="D103" s="101">
        <f>E94-D101</f>
        <v>150.93961425048963</v>
      </c>
      <c r="E103" s="54" t="s">
        <v>137</v>
      </c>
    </row>
    <row r="104" spans="2:9" hidden="1" outlineLevel="1">
      <c r="D104" s="101"/>
    </row>
    <row r="105" spans="2:9" hidden="1" outlineLevel="1">
      <c r="B105" s="54" t="s">
        <v>153</v>
      </c>
      <c r="D105" s="102">
        <f>[7]!HeCalc(2,0,1,C95*10^5,9,D103*1000,1)</f>
        <v>26.18716300401384</v>
      </c>
      <c r="E105" s="58" t="s">
        <v>87</v>
      </c>
    </row>
    <row r="106" spans="2:9" hidden="1" outlineLevel="1">
      <c r="D106" s="102"/>
      <c r="E106" s="58"/>
    </row>
    <row r="107" spans="2:9" hidden="1" outlineLevel="1">
      <c r="B107" s="54" t="s">
        <v>154</v>
      </c>
      <c r="D107" s="103">
        <v>50</v>
      </c>
      <c r="E107" s="58" t="s">
        <v>84</v>
      </c>
    </row>
    <row r="108" spans="2:9" hidden="1" outlineLevel="1">
      <c r="D108" s="103"/>
      <c r="E108" s="58"/>
    </row>
    <row r="109" spans="2:9" hidden="1" outlineLevel="1">
      <c r="B109" s="54" t="s">
        <v>155</v>
      </c>
      <c r="D109" s="102">
        <f>(E94-D103)*D107</f>
        <v>6290.8298221265995</v>
      </c>
      <c r="E109" s="58" t="s">
        <v>123</v>
      </c>
    </row>
    <row r="110" spans="2:9" hidden="1" outlineLevel="1">
      <c r="D110" s="102"/>
      <c r="E110" s="58"/>
    </row>
    <row r="111" spans="2:9" hidden="1" outlineLevel="1">
      <c r="B111" s="118" t="s">
        <v>158</v>
      </c>
      <c r="C111" s="115"/>
      <c r="D111" s="115"/>
      <c r="E111" s="115"/>
      <c r="F111" s="115"/>
      <c r="G111" s="115"/>
      <c r="H111" s="115"/>
      <c r="I111" s="115"/>
    </row>
    <row r="112" spans="2:9" hidden="1" outlineLevel="1">
      <c r="B112" s="58"/>
      <c r="C112" s="57"/>
      <c r="E112" s="57"/>
      <c r="F112" s="57"/>
      <c r="G112" s="57"/>
    </row>
    <row r="113" spans="2:9" ht="25.5" hidden="1" outlineLevel="1">
      <c r="C113" s="107" t="s">
        <v>147</v>
      </c>
      <c r="D113" s="108" t="s">
        <v>157</v>
      </c>
      <c r="E113" s="108" t="s">
        <v>138</v>
      </c>
      <c r="F113" s="108" t="s">
        <v>139</v>
      </c>
      <c r="G113" s="108" t="s">
        <v>140</v>
      </c>
      <c r="H113" s="109" t="s">
        <v>156</v>
      </c>
    </row>
    <row r="114" spans="2:9" hidden="1" outlineLevel="1">
      <c r="C114" s="110">
        <v>0.75</v>
      </c>
      <c r="D114" s="106">
        <v>50</v>
      </c>
      <c r="E114" s="104">
        <v>15</v>
      </c>
      <c r="F114" s="104">
        <v>50</v>
      </c>
      <c r="G114" s="105">
        <f>H_(11,E114,F114)</f>
        <v>276.75621069302161</v>
      </c>
      <c r="H114" s="111"/>
    </row>
    <row r="115" spans="2:9" hidden="1" outlineLevel="1">
      <c r="C115" s="112"/>
      <c r="D115" s="113"/>
      <c r="E115" s="114">
        <v>1.2</v>
      </c>
      <c r="F115" s="122">
        <f>T2_turb(11,E114,F114,E115,C114)</f>
        <v>26.187163004013833</v>
      </c>
      <c r="G115" s="116">
        <f>H_(11,E115,F115)</f>
        <v>150.93961425048963</v>
      </c>
      <c r="H115" s="117">
        <f>(G114-G115)*D114</f>
        <v>6290.8298221265995</v>
      </c>
    </row>
    <row r="116" spans="2:9" hidden="1" outlineLevel="1"/>
    <row r="117" spans="2:9" hidden="1" outlineLevel="1"/>
    <row r="118" spans="2:9" hidden="1" outlineLevel="1">
      <c r="B118" s="53" t="s">
        <v>162</v>
      </c>
      <c r="C118" s="53"/>
      <c r="D118" s="53"/>
      <c r="E118" s="53"/>
      <c r="F118" s="53"/>
      <c r="G118" s="53"/>
      <c r="H118" s="53"/>
      <c r="I118" s="53"/>
    </row>
    <row r="119" spans="2:9" hidden="1" outlineLevel="1"/>
    <row r="120" spans="2:9" ht="25.5" hidden="1" outlineLevel="1">
      <c r="C120" s="107" t="s">
        <v>147</v>
      </c>
      <c r="D120" s="108" t="s">
        <v>157</v>
      </c>
      <c r="E120" s="108" t="s">
        <v>138</v>
      </c>
      <c r="F120" s="108" t="s">
        <v>139</v>
      </c>
      <c r="G120" s="108" t="s">
        <v>140</v>
      </c>
      <c r="H120" s="109" t="s">
        <v>156</v>
      </c>
    </row>
    <row r="121" spans="2:9" hidden="1" outlineLevel="1">
      <c r="C121" s="110">
        <v>0.75</v>
      </c>
      <c r="D121" s="106">
        <v>100</v>
      </c>
      <c r="E121" s="104">
        <v>12</v>
      </c>
      <c r="F121" s="104">
        <v>200</v>
      </c>
      <c r="G121" s="105">
        <f t="shared" ref="G121:G126" si="2">H_(11,E121,F121)</f>
        <v>1057.7987977841847</v>
      </c>
      <c r="H121" s="111"/>
    </row>
    <row r="122" spans="2:9" hidden="1" outlineLevel="1">
      <c r="C122" s="112"/>
      <c r="D122" s="113"/>
      <c r="E122" s="114">
        <v>1.3</v>
      </c>
      <c r="F122" s="122">
        <f>T2_turb(11,E121,F121,E122,C121)</f>
        <v>111.84860707425656</v>
      </c>
      <c r="G122" s="116">
        <f t="shared" si="2"/>
        <v>596.49638662740733</v>
      </c>
      <c r="H122" s="117">
        <f>(G121-G122)*D121</f>
        <v>46130.241115677731</v>
      </c>
    </row>
    <row r="123" spans="2:9" hidden="1" outlineLevel="1">
      <c r="C123" s="110">
        <v>0.75</v>
      </c>
      <c r="D123" s="106">
        <v>100</v>
      </c>
      <c r="E123" s="104">
        <v>12</v>
      </c>
      <c r="F123" s="104">
        <v>20</v>
      </c>
      <c r="G123" s="105">
        <f t="shared" si="2"/>
        <v>113.32461018860506</v>
      </c>
      <c r="H123" s="111"/>
    </row>
    <row r="124" spans="2:9" hidden="1" outlineLevel="1">
      <c r="C124" s="112"/>
      <c r="D124" s="113"/>
      <c r="E124" s="114">
        <v>1.3</v>
      </c>
      <c r="F124" s="122">
        <f>T2_turb(11,E123,F123,E124,C123)</f>
        <v>10.773184476826538</v>
      </c>
      <c r="G124" s="116">
        <f t="shared" si="2"/>
        <v>69.239989664166643</v>
      </c>
      <c r="H124" s="117">
        <f>(G123-G124)*D123</f>
        <v>4408.4620524438424</v>
      </c>
    </row>
    <row r="125" spans="2:9" hidden="1" outlineLevel="1">
      <c r="C125" s="110">
        <v>0.75</v>
      </c>
      <c r="D125" s="106">
        <v>100</v>
      </c>
      <c r="E125" s="104">
        <v>12</v>
      </c>
      <c r="F125" s="104">
        <v>10</v>
      </c>
      <c r="G125" s="105">
        <f t="shared" si="2"/>
        <v>48.21842814697996</v>
      </c>
      <c r="H125" s="111"/>
    </row>
    <row r="126" spans="2:9" hidden="1" outlineLevel="1">
      <c r="C126" s="112"/>
      <c r="D126" s="113"/>
      <c r="E126" s="114">
        <v>1.3</v>
      </c>
      <c r="F126" s="122">
        <f>T2_turb(11,E125,F125,E126,C125)</f>
        <v>4.4977168145467648</v>
      </c>
      <c r="G126" s="116">
        <f t="shared" si="2"/>
        <v>11.629820261808892</v>
      </c>
      <c r="H126" s="117">
        <f>(G125-G126)*D125</f>
        <v>3658.8607885171073</v>
      </c>
    </row>
    <row r="127" spans="2:9" hidden="1" outlineLevel="1"/>
    <row r="129" spans="2:9">
      <c r="B129" s="53" t="s">
        <v>161</v>
      </c>
      <c r="C129" s="53"/>
      <c r="D129" s="53"/>
      <c r="E129" s="53"/>
      <c r="F129" s="53"/>
      <c r="G129" s="53"/>
      <c r="H129" s="53"/>
      <c r="I129" s="53"/>
    </row>
    <row r="130" spans="2:9" outlineLevel="1"/>
    <row r="131" spans="2:9" outlineLevel="1"/>
    <row r="132" spans="2:9" outlineLevel="1">
      <c r="E132" s="54" t="s">
        <v>164</v>
      </c>
    </row>
    <row r="133" spans="2:9" outlineLevel="1"/>
    <row r="134" spans="2:9" outlineLevel="1"/>
    <row r="135" spans="2:9" outlineLevel="1">
      <c r="B135" s="54" t="s">
        <v>198</v>
      </c>
    </row>
    <row r="136" spans="2:9" outlineLevel="1"/>
    <row r="137" spans="2:9" outlineLevel="1">
      <c r="B137" s="54" t="s">
        <v>199</v>
      </c>
    </row>
    <row r="138" spans="2:9" outlineLevel="1"/>
    <row r="139" spans="2:9" outlineLevel="1">
      <c r="B139" s="54" t="s">
        <v>200</v>
      </c>
    </row>
    <row r="140" spans="2:9" outlineLevel="1"/>
    <row r="141" spans="2:9" outlineLevel="1">
      <c r="B141" s="164" t="s">
        <v>206</v>
      </c>
    </row>
    <row r="142" spans="2:9" outlineLevel="1"/>
    <row r="143" spans="2:9" outlineLevel="1">
      <c r="B143" s="54" t="s">
        <v>201</v>
      </c>
    </row>
    <row r="144" spans="2:9" ht="21" customHeight="1" outlineLevel="1"/>
    <row r="145" spans="2:12" outlineLevel="1">
      <c r="B145" s="54" t="s">
        <v>202</v>
      </c>
      <c r="F145" s="55" t="s">
        <v>203</v>
      </c>
    </row>
    <row r="146" spans="2:12" outlineLevel="1"/>
    <row r="147" spans="2:12" outlineLevel="1"/>
    <row r="148" spans="2:12" outlineLevel="1"/>
    <row r="149" spans="2:12" outlineLevel="1"/>
    <row r="150" spans="2:12" outlineLevel="1"/>
    <row r="151" spans="2:12" outlineLevel="1"/>
    <row r="152" spans="2:12" outlineLevel="1"/>
    <row r="153" spans="2:12" outlineLevel="1"/>
    <row r="154" spans="2:12" outlineLevel="1"/>
    <row r="155" spans="2:12" outlineLevel="1">
      <c r="B155" s="58" t="s">
        <v>163</v>
      </c>
    </row>
    <row r="156" spans="2:12" outlineLevel="1"/>
    <row r="157" spans="2:12" outlineLevel="1"/>
    <row r="158" spans="2:12" outlineLevel="1">
      <c r="C158" s="58" t="s">
        <v>166</v>
      </c>
      <c r="L158" s="137" t="s">
        <v>196</v>
      </c>
    </row>
    <row r="159" spans="2:12" outlineLevel="1"/>
    <row r="160" spans="2:12" outlineLevel="1"/>
    <row r="161" spans="2:9" ht="25.5" outlineLevel="1">
      <c r="C161" s="96" t="s">
        <v>138</v>
      </c>
      <c r="D161" s="96" t="s">
        <v>139</v>
      </c>
      <c r="E161" s="96" t="s">
        <v>140</v>
      </c>
      <c r="F161" s="96" t="s">
        <v>141</v>
      </c>
      <c r="G161" s="96" t="s">
        <v>142</v>
      </c>
      <c r="H161" s="163" t="s">
        <v>83</v>
      </c>
      <c r="I161" s="96" t="s">
        <v>147</v>
      </c>
    </row>
    <row r="162" spans="2:9" outlineLevel="1">
      <c r="C162" s="124">
        <v>13.71</v>
      </c>
      <c r="D162" s="124">
        <v>43.64</v>
      </c>
      <c r="E162" s="97">
        <f>H_(11,C162,D162)</f>
        <v>242.81566478060728</v>
      </c>
      <c r="F162" s="124">
        <v>25</v>
      </c>
      <c r="G162" s="123">
        <f>F162*(E162-E163)</f>
        <v>1123.2018284414444</v>
      </c>
      <c r="H162" s="97">
        <f>F162*(D162)^0.5/C162</f>
        <v>12.046057304824028</v>
      </c>
      <c r="I162" s="132">
        <v>0.72</v>
      </c>
    </row>
    <row r="163" spans="2:9" outlineLevel="1">
      <c r="B163" s="52"/>
      <c r="C163" s="124">
        <v>6.2759999999999998</v>
      </c>
      <c r="D163" s="97">
        <f>T2_turb(11,C162,D162,C163,$I$162)</f>
        <v>35.224811058369625</v>
      </c>
      <c r="E163" s="97">
        <f>H_(11,C163,D163)</f>
        <v>197.8875916429495</v>
      </c>
      <c r="F163" s="52"/>
      <c r="G163" s="52"/>
      <c r="H163" s="52"/>
    </row>
    <row r="164" spans="2:9" outlineLevel="1">
      <c r="B164" s="52"/>
      <c r="C164" s="52"/>
      <c r="D164" s="52"/>
      <c r="E164" s="52"/>
      <c r="F164" s="52"/>
      <c r="G164" s="52"/>
      <c r="H164" s="52"/>
    </row>
    <row r="165" spans="2:9" outlineLevel="1">
      <c r="B165" s="129">
        <f>G165-$G$162</f>
        <v>-419.15801635272931</v>
      </c>
      <c r="C165" s="125">
        <v>6.5070195289166852</v>
      </c>
      <c r="D165" s="124">
        <v>200</v>
      </c>
      <c r="E165" s="97">
        <f>H_(11,C165,D165)</f>
        <v>1056.0083440203168</v>
      </c>
      <c r="F165" s="127">
        <f>F178</f>
        <v>3.5358195822150895</v>
      </c>
      <c r="G165" s="129">
        <f>F165*(E165-E166)</f>
        <v>704.04381208871507</v>
      </c>
      <c r="H165" s="97"/>
      <c r="I165" s="52"/>
    </row>
    <row r="166" spans="2:9" outlineLevel="1">
      <c r="C166" s="126">
        <f>+C178</f>
        <v>3.0112536664598082</v>
      </c>
      <c r="D166" s="97">
        <f>T2_turb(11,C165,D165,C166,$I$162)</f>
        <v>161.87926245785675</v>
      </c>
      <c r="E166" s="97">
        <f>H_(11,C166,D166)</f>
        <v>856.89077149766797</v>
      </c>
      <c r="F166" s="128"/>
      <c r="G166" s="52"/>
      <c r="H166" s="52"/>
      <c r="I166" s="52"/>
    </row>
    <row r="167" spans="2:9" outlineLevel="1">
      <c r="B167" s="52"/>
      <c r="C167" s="52"/>
      <c r="D167" s="52"/>
      <c r="E167" s="52"/>
      <c r="F167" s="52"/>
      <c r="G167" s="52"/>
      <c r="H167" s="52"/>
      <c r="I167" s="52"/>
    </row>
    <row r="168" spans="2:9" outlineLevel="1">
      <c r="B168" s="129">
        <f>G168-G162</f>
        <v>-390.71875360781894</v>
      </c>
      <c r="C168" s="125">
        <v>5.6249870428097166</v>
      </c>
      <c r="D168" s="124">
        <v>300</v>
      </c>
      <c r="E168" s="97">
        <f>H_(11,C168,D168)</f>
        <v>1575.008529404126</v>
      </c>
      <c r="F168" s="127">
        <f>F181</f>
        <v>2.5964608764233197</v>
      </c>
      <c r="G168" s="129">
        <f>F168*(E168-E169)</f>
        <v>732.48307483362544</v>
      </c>
      <c r="H168" s="97"/>
      <c r="I168" s="97"/>
    </row>
    <row r="169" spans="2:9" outlineLevel="1">
      <c r="C169" s="126">
        <f>+C181</f>
        <v>2.7314388803867637</v>
      </c>
      <c r="D169" s="97">
        <f>T2_turb(11,C168,D168,C169,$I$162)</f>
        <v>245.85419768077711</v>
      </c>
      <c r="E169" s="97">
        <f>H_(11,C169,D169)</f>
        <v>1292.9002636933649</v>
      </c>
      <c r="F169" s="128"/>
      <c r="G169" s="129"/>
      <c r="H169" s="52"/>
      <c r="I169" s="52"/>
    </row>
    <row r="170" spans="2:9" outlineLevel="1">
      <c r="C170" s="124"/>
      <c r="D170" s="97"/>
      <c r="E170" s="97"/>
      <c r="F170" s="128"/>
      <c r="G170" s="52"/>
      <c r="H170" s="52"/>
      <c r="I170" s="52"/>
    </row>
    <row r="171" spans="2:9" outlineLevel="1">
      <c r="C171" s="58" t="s">
        <v>165</v>
      </c>
      <c r="D171" s="97"/>
      <c r="E171" s="97"/>
      <c r="F171" s="128"/>
      <c r="G171" s="52"/>
      <c r="H171" s="52"/>
      <c r="I171" s="52"/>
    </row>
    <row r="172" spans="2:9" outlineLevel="1">
      <c r="D172" s="59"/>
    </row>
    <row r="173" spans="2:9" outlineLevel="1"/>
    <row r="174" spans="2:9" ht="25.5" outlineLevel="1">
      <c r="C174" s="96" t="s">
        <v>138</v>
      </c>
      <c r="D174" s="96" t="s">
        <v>139</v>
      </c>
      <c r="E174" s="96" t="s">
        <v>140</v>
      </c>
      <c r="F174" s="96" t="s">
        <v>141</v>
      </c>
      <c r="G174" s="96" t="s">
        <v>142</v>
      </c>
      <c r="H174" s="163" t="s">
        <v>83</v>
      </c>
      <c r="I174" s="96" t="s">
        <v>147</v>
      </c>
    </row>
    <row r="175" spans="2:9" outlineLevel="1">
      <c r="C175" s="131">
        <f>C163</f>
        <v>6.2759999999999998</v>
      </c>
      <c r="D175" s="124">
        <v>17.18</v>
      </c>
      <c r="E175" s="97">
        <f>H_(11,C175,D175)</f>
        <v>100.10714214025222</v>
      </c>
      <c r="F175" s="124">
        <v>24.93</v>
      </c>
      <c r="G175" s="123">
        <f>F175*(E175-E176)</f>
        <v>743.12465403577414</v>
      </c>
      <c r="H175" s="97">
        <f>F175*(D175)^0.5/C175</f>
        <v>16.464590110810811</v>
      </c>
      <c r="I175" s="132">
        <v>0.72</v>
      </c>
    </row>
    <row r="176" spans="2:9" outlineLevel="1">
      <c r="C176" s="124">
        <v>1.214</v>
      </c>
      <c r="D176" s="97">
        <f>T2_turb(11,C175,D175,C176,$I$175)</f>
        <v>10.943806252492537</v>
      </c>
      <c r="E176" s="97">
        <f>H_(11,C176,D176)</f>
        <v>70.298692319322654</v>
      </c>
      <c r="F176" s="52"/>
      <c r="G176" s="52"/>
      <c r="H176" s="52"/>
    </row>
    <row r="177" spans="2:9" outlineLevel="1"/>
    <row r="178" spans="2:9" outlineLevel="1">
      <c r="B178" s="130">
        <f>G178-$G$175</f>
        <v>1.9491374473545875E-5</v>
      </c>
      <c r="C178" s="125">
        <v>3.0112536664598082</v>
      </c>
      <c r="D178" s="124">
        <v>196.6148593045497</v>
      </c>
      <c r="E178" s="97">
        <f>H_(11,C178,D178)</f>
        <v>1037.2882926957027</v>
      </c>
      <c r="F178" s="127">
        <f>$H$175*C178/(D178)^0.5</f>
        <v>3.5358195822150895</v>
      </c>
      <c r="G178" s="129">
        <f>F178*(E178-E179)</f>
        <v>743.12467352714862</v>
      </c>
      <c r="H178" s="97"/>
    </row>
    <row r="179" spans="2:9" outlineLevel="1">
      <c r="C179" s="125">
        <v>1.3</v>
      </c>
      <c r="D179" s="97">
        <f>T2_turb(11,C178,D178,C179,$I$175)</f>
        <v>156.25238739003495</v>
      </c>
      <c r="E179" s="97">
        <f>H_(11,C179,D179)</f>
        <v>827.11787640381647</v>
      </c>
      <c r="F179" s="128"/>
      <c r="G179" s="52"/>
      <c r="H179" s="52"/>
    </row>
    <row r="180" spans="2:9" outlineLevel="1"/>
    <row r="181" spans="2:9" outlineLevel="1">
      <c r="B181" s="129">
        <f>G181-G175</f>
        <v>6.0032236279571407</v>
      </c>
      <c r="C181" s="125">
        <v>2.7314388803867637</v>
      </c>
      <c r="D181" s="124">
        <v>300</v>
      </c>
      <c r="E181" s="97">
        <f>H_(11,C181,D181)</f>
        <v>1574.0738427829301</v>
      </c>
      <c r="F181" s="127">
        <f>$H$175*C181/(D181)^0.5</f>
        <v>2.5964608764233197</v>
      </c>
      <c r="G181" s="129">
        <f>F181*(E181-E182)</f>
        <v>749.12787766373128</v>
      </c>
      <c r="H181" s="97"/>
    </row>
    <row r="182" spans="2:9" outlineLevel="1">
      <c r="C182" s="125">
        <v>1.3</v>
      </c>
      <c r="D182" s="97">
        <f>T2_turb(11,C181,D181,C182,$I$175)</f>
        <v>244.52968266157256</v>
      </c>
      <c r="E182" s="97">
        <f>H_(11,C182,D182)</f>
        <v>1285.5550037485939</v>
      </c>
      <c r="F182" s="128"/>
      <c r="G182" s="52"/>
      <c r="H182" s="52"/>
      <c r="I182" s="52"/>
    </row>
    <row r="183" spans="2:9" outlineLevel="1"/>
    <row r="186" spans="2:9">
      <c r="B186" s="53" t="s">
        <v>146</v>
      </c>
      <c r="C186" s="53"/>
      <c r="D186" s="53"/>
      <c r="E186" s="53"/>
      <c r="F186" s="53"/>
      <c r="G186" s="53"/>
      <c r="H186" s="53"/>
      <c r="I186" s="53"/>
    </row>
    <row r="187" spans="2:9" outlineLevel="1">
      <c r="C187" s="54" t="s">
        <v>144</v>
      </c>
    </row>
    <row r="188" spans="2:9" outlineLevel="1">
      <c r="C188" s="99" t="s">
        <v>145</v>
      </c>
    </row>
    <row r="189" spans="2:9" outlineLevel="1"/>
    <row r="190" spans="2:9" outlineLevel="1"/>
    <row r="191" spans="2:9" outlineLevel="1"/>
    <row r="192" spans="2:9" outlineLevel="1"/>
    <row r="194" spans="2:9">
      <c r="B194" s="53" t="s">
        <v>209</v>
      </c>
      <c r="C194" s="53"/>
      <c r="D194" s="53"/>
      <c r="E194" s="53"/>
      <c r="F194" s="53"/>
      <c r="G194" s="53"/>
      <c r="H194" s="53"/>
      <c r="I194" s="53"/>
    </row>
    <row r="195" spans="2:9" outlineLevel="1"/>
    <row r="196" spans="2:9" outlineLevel="1"/>
    <row r="197" spans="2:9" outlineLevel="1">
      <c r="D197" s="54" t="s">
        <v>210</v>
      </c>
    </row>
    <row r="198" spans="2:9" outlineLevel="1">
      <c r="D198" s="54" t="s">
        <v>214</v>
      </c>
      <c r="F198" s="141" t="s">
        <v>215</v>
      </c>
    </row>
    <row r="199" spans="2:9" outlineLevel="1">
      <c r="F199" s="141" t="s">
        <v>216</v>
      </c>
    </row>
    <row r="200" spans="2:9" outlineLevel="1">
      <c r="D200" s="54" t="s">
        <v>217</v>
      </c>
    </row>
    <row r="201" spans="2:9" outlineLevel="1">
      <c r="D201" s="54" t="s">
        <v>218</v>
      </c>
    </row>
    <row r="202" spans="2:9" outlineLevel="1"/>
    <row r="203" spans="2:9" outlineLevel="1"/>
    <row r="204" spans="2:9" outlineLevel="1"/>
    <row r="205" spans="2:9" outlineLevel="1"/>
    <row r="206" spans="2:9" outlineLevel="1"/>
    <row r="207" spans="2:9" outlineLevel="1"/>
    <row r="208" spans="2:9" outlineLevel="1"/>
    <row r="209" spans="2:2" outlineLevel="1"/>
    <row r="210" spans="2:2" outlineLevel="1"/>
    <row r="211" spans="2:2" outlineLevel="1"/>
    <row r="212" spans="2:2" outlineLevel="1"/>
    <row r="213" spans="2:2" outlineLevel="1"/>
    <row r="214" spans="2:2" outlineLevel="1"/>
    <row r="215" spans="2:2" outlineLevel="1"/>
    <row r="216" spans="2:2" outlineLevel="1"/>
    <row r="217" spans="2:2" outlineLevel="1">
      <c r="B217" s="54" t="s">
        <v>197</v>
      </c>
    </row>
    <row r="218" spans="2:2" outlineLevel="1"/>
  </sheetData>
  <phoneticPr fontId="10" type="noConversion"/>
  <pageMargins left="0.75" right="0.75" top="1" bottom="1" header="0.4921259845" footer="0.4921259845"/>
  <pageSetup paperSize="9" orientation="portrait" r:id="rId1"/>
  <headerFooter alignWithMargins="0"/>
  <drawing r:id="rId2"/>
  <legacyDrawing r:id="rId3"/>
  <oleObjects>
    <oleObject progId="Equation.3" shapeId="53249" r:id="rId4"/>
    <oleObject progId="Equation.3" shapeId="53277" r:id="rId5"/>
    <oleObject progId="Equation.3" shapeId="53278" r:id="rId6"/>
    <oleObject progId="Equation.3" shapeId="53315" r:id="rId7"/>
    <oleObject progId="Equation.3" shapeId="53334" r:id="rId8"/>
    <oleObject progId="Equation.3" shapeId="53335" r:id="rId9"/>
    <oleObject progId="Equation.3" shapeId="53336" r:id="rId10"/>
    <oleObject progId="Equation.3" shapeId="53337" r:id="rId11"/>
    <oleObject progId="Equation.3" shapeId="53338" r:id="rId12"/>
    <oleObject progId="Equation.3" shapeId="53339" r:id="rId13"/>
    <oleObject progId="Equation.3" shapeId="53340" r:id="rId14"/>
  </oleObjects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7"/>
  <dimension ref="A5:AF47"/>
  <sheetViews>
    <sheetView workbookViewId="0">
      <selection activeCell="L26" sqref="L26"/>
    </sheetView>
  </sheetViews>
  <sheetFormatPr defaultColWidth="11.42578125" defaultRowHeight="12.75"/>
  <cols>
    <col min="1" max="1" width="11.42578125" customWidth="1"/>
    <col min="2" max="2" width="21.28515625" bestFit="1" customWidth="1"/>
    <col min="3" max="3" width="11.42578125" customWidth="1"/>
    <col min="4" max="4" width="13.5703125" bestFit="1" customWidth="1"/>
    <col min="5" max="5" width="12.42578125" bestFit="1" customWidth="1"/>
    <col min="6" max="10" width="11.42578125" customWidth="1"/>
    <col min="11" max="12" width="11.5703125" bestFit="1" customWidth="1"/>
    <col min="13" max="16" width="11.42578125" customWidth="1"/>
    <col min="17" max="17" width="13.5703125" bestFit="1" customWidth="1"/>
    <col min="18" max="20" width="11.42578125" customWidth="1"/>
    <col min="21" max="22" width="11.42578125" style="15" customWidth="1"/>
    <col min="23" max="23" width="11.5703125" bestFit="1" customWidth="1"/>
  </cols>
  <sheetData>
    <row r="5" spans="2:7">
      <c r="B5" s="60" t="s">
        <v>107</v>
      </c>
      <c r="C5" s="61">
        <v>35.5</v>
      </c>
      <c r="D5" s="60" t="s">
        <v>84</v>
      </c>
      <c r="F5" s="62" t="s">
        <v>108</v>
      </c>
      <c r="G5" s="63">
        <v>-0.19543252</v>
      </c>
    </row>
    <row r="6" spans="2:7">
      <c r="B6" s="64" t="s">
        <v>109</v>
      </c>
      <c r="C6" s="61">
        <v>16</v>
      </c>
      <c r="D6" s="64" t="s">
        <v>110</v>
      </c>
      <c r="F6" s="62" t="s">
        <v>111</v>
      </c>
      <c r="G6" s="63">
        <f>g_(11,C6,C7)</f>
        <v>1.9332248593946404</v>
      </c>
    </row>
    <row r="7" spans="2:7">
      <c r="B7" s="64" t="s">
        <v>112</v>
      </c>
      <c r="C7" s="65">
        <v>18.399999999999999</v>
      </c>
      <c r="D7" s="64" t="s">
        <v>87</v>
      </c>
      <c r="F7" s="15" t="s">
        <v>113</v>
      </c>
      <c r="G7" s="63">
        <f>Z_(11,C6,C7)</f>
        <v>0.99949500581222972</v>
      </c>
    </row>
    <row r="8" spans="2:7">
      <c r="B8" s="64" t="s">
        <v>114</v>
      </c>
      <c r="C8" s="61">
        <v>1.24</v>
      </c>
      <c r="D8" s="64" t="s">
        <v>110</v>
      </c>
      <c r="F8" s="15" t="s">
        <v>89</v>
      </c>
      <c r="G8" s="66">
        <f>cp_(11,C6,C7)</f>
        <v>6.1212857804214593</v>
      </c>
    </row>
    <row r="9" spans="2:7">
      <c r="B9" s="64" t="s">
        <v>115</v>
      </c>
      <c r="C9" s="67">
        <f>C7-1.359*C12/(C5*G8)</f>
        <v>9.1301457914014623</v>
      </c>
      <c r="D9" s="64" t="s">
        <v>87</v>
      </c>
      <c r="E9" s="68"/>
      <c r="F9" s="15" t="s">
        <v>116</v>
      </c>
      <c r="G9" s="69">
        <v>5.5539999999999996E-10</v>
      </c>
    </row>
    <row r="10" spans="2:7">
      <c r="B10" s="64" t="s">
        <v>117</v>
      </c>
      <c r="C10" s="70">
        <f>0.523*C5*G8/G9/G15^2*(2*C7/(G6+1)-C8/(G7*G11/G12*C7))/2/PI()/(-0.00003*C7^3+0.0023*C7^2-0.0502*C7+1.2977)</f>
        <v>2204.0116104256967</v>
      </c>
      <c r="D10" s="64" t="s">
        <v>118</v>
      </c>
      <c r="F10" s="15" t="s">
        <v>119</v>
      </c>
      <c r="G10" s="71">
        <v>1.0699999999999999E-2</v>
      </c>
    </row>
    <row r="11" spans="2:7">
      <c r="B11" s="64" t="s">
        <v>120</v>
      </c>
      <c r="C11" s="61">
        <f>45+28.7*EXP(-(G16-1)^2/G5)</f>
        <v>73.548151897451547</v>
      </c>
      <c r="D11" s="64" t="s">
        <v>106</v>
      </c>
      <c r="F11" s="15" t="s">
        <v>121</v>
      </c>
      <c r="G11" s="63">
        <v>8.3144720000000003</v>
      </c>
    </row>
    <row r="12" spans="2:7">
      <c r="B12" s="64" t="s">
        <v>122</v>
      </c>
      <c r="C12" s="72">
        <f>0.667*C11/100*C5*G8*C7*(G6-1)/(G6+1)+0.428*C11/100*C5*G8*(2*C7/(G6+1)-C8/(G7*G11/G12*C7))</f>
        <v>1482.2602279289445</v>
      </c>
      <c r="D12" s="64" t="s">
        <v>123</v>
      </c>
      <c r="F12" s="15" t="s">
        <v>124</v>
      </c>
      <c r="G12" s="63">
        <v>4.0026000000000003E-3</v>
      </c>
    </row>
    <row r="13" spans="2:7">
      <c r="B13" s="64" t="s">
        <v>125</v>
      </c>
      <c r="C13" s="73">
        <f>C5*SQRT(G7*C7)/C6</f>
        <v>9.5149737855527352</v>
      </c>
      <c r="D13" s="66" t="s">
        <v>126</v>
      </c>
      <c r="F13" s="15" t="s">
        <v>127</v>
      </c>
      <c r="G13" s="68">
        <v>2.4399999999999999E-6</v>
      </c>
    </row>
    <row r="14" spans="2:7" ht="15.75">
      <c r="B14" s="64"/>
      <c r="C14" s="73"/>
      <c r="D14" s="66"/>
      <c r="F14" s="74" t="s">
        <v>134</v>
      </c>
      <c r="G14" s="75">
        <v>2205</v>
      </c>
    </row>
    <row r="15" spans="2:7" ht="15.75">
      <c r="F15" s="62" t="s">
        <v>135</v>
      </c>
      <c r="G15" s="75">
        <f>2*PI()*G14</f>
        <v>13854.423602330988</v>
      </c>
    </row>
    <row r="16" spans="2:7">
      <c r="F16" s="62" t="s">
        <v>83</v>
      </c>
      <c r="G16" s="75">
        <f>G10*2*PI()*G14/0.64/SQRT(G6*G7*G11/G12*C7*2/(G6+1))</f>
        <v>1.0321986654896635</v>
      </c>
    </row>
    <row r="17" spans="1:32">
      <c r="D17" s="76"/>
    </row>
    <row r="18" spans="1:32">
      <c r="C18" s="77"/>
      <c r="D18" s="78"/>
    </row>
    <row r="19" spans="1:32">
      <c r="C19" s="77"/>
      <c r="D19" s="78"/>
    </row>
    <row r="20" spans="1:32">
      <c r="C20" s="77"/>
      <c r="D20" s="78"/>
    </row>
    <row r="21" spans="1:32">
      <c r="C21" s="17"/>
      <c r="D21" s="76"/>
    </row>
    <row r="22" spans="1:32" ht="11.25" customHeight="1">
      <c r="F22" s="79"/>
      <c r="G22" s="80"/>
    </row>
    <row r="23" spans="1:32">
      <c r="F23" s="79"/>
      <c r="G23" s="80"/>
      <c r="Q23" s="81"/>
      <c r="AE23" s="81"/>
    </row>
    <row r="24" spans="1:32">
      <c r="C24" s="15" t="s">
        <v>128</v>
      </c>
      <c r="D24" s="15" t="s">
        <v>136</v>
      </c>
      <c r="E24" s="62" t="s">
        <v>111</v>
      </c>
      <c r="F24" s="15" t="s">
        <v>113</v>
      </c>
      <c r="G24" s="15" t="s">
        <v>89</v>
      </c>
      <c r="H24" s="15" t="s">
        <v>129</v>
      </c>
      <c r="I24" s="62" t="s">
        <v>83</v>
      </c>
      <c r="J24" s="15" t="s">
        <v>130</v>
      </c>
      <c r="K24" s="15" t="s">
        <v>131</v>
      </c>
      <c r="L24" s="15" t="s">
        <v>132</v>
      </c>
      <c r="M24" s="15" t="s">
        <v>133</v>
      </c>
      <c r="O24" s="15"/>
      <c r="P24" s="15"/>
      <c r="Q24" s="15"/>
      <c r="R24" s="15"/>
      <c r="S24" s="15"/>
      <c r="T24" s="15"/>
      <c r="W24" s="15"/>
      <c r="X24" s="15"/>
      <c r="Y24" s="15"/>
      <c r="Z24" s="15"/>
      <c r="AA24" s="15"/>
      <c r="AB24" s="15"/>
      <c r="AC24" s="15"/>
      <c r="AD24" s="15"/>
      <c r="AF24" s="15"/>
    </row>
    <row r="25" spans="1:32">
      <c r="A25" s="82"/>
      <c r="B25" s="82"/>
      <c r="C25" s="15">
        <v>300</v>
      </c>
      <c r="D25" s="83">
        <v>14.430759882979357</v>
      </c>
      <c r="E25" s="83">
        <f>g_(11,D25,C25)</f>
        <v>1.6649444546921479</v>
      </c>
      <c r="F25" s="17">
        <f>Z_(11,D25,C25)</f>
        <v>1.0065927467751326</v>
      </c>
      <c r="G25" s="83">
        <f>cp_(11,D25,C25)</f>
        <v>5.1919938253225411</v>
      </c>
      <c r="H25" s="77">
        <f t="shared" ref="H25:H47" si="0">$C$13*D25/SQRT(F25*C25)</f>
        <v>7.9014950220002333</v>
      </c>
      <c r="I25" s="17">
        <f>$G$10*2*PI()*L25/0.64/SQRT(E25*F25*$G$11/$G$12*C25*2/(E25+1))</f>
        <v>-1.3874164430485131E-3</v>
      </c>
      <c r="J25" s="83">
        <f t="shared" ref="J25:J47" si="1">45+28.7*EXP(-(I25-1)^2/$G$5)</f>
        <v>45.169624717526119</v>
      </c>
      <c r="K25" s="83">
        <f t="shared" ref="K25:K47" si="2">J25/100*H25*(0.667*G25*C25*(E25-1)/(E25+1))+0.428*J25/100*H25*G25*(2*C25/(E25+1)-$C$8/(F25*$G$11/$G$12*C25))</f>
        <v>2710.8487952033861</v>
      </c>
      <c r="L25" s="77">
        <f t="shared" ref="L25:L47" si="3">0.523*H25*G25/$G$9/$G$15^2*(2*C25/(E25+1)-$C$8/(F25*$G$11/$G$12*C25))/2/PI()/(-0.00003*C25^3+0.0023*C25^2-0.0502*C25+1.2977)</f>
        <v>-11.693047790265668</v>
      </c>
      <c r="M25" s="83">
        <f t="shared" ref="M25:M47" si="4">C25-1.359*K25/(H25*G25)</f>
        <v>210.19897104201448</v>
      </c>
      <c r="O25" s="77"/>
      <c r="P25" s="77"/>
      <c r="Q25" s="77"/>
      <c r="R25" s="77"/>
      <c r="S25" s="77"/>
      <c r="T25" s="77"/>
      <c r="U25" s="83"/>
      <c r="V25" s="77"/>
      <c r="W25" s="84"/>
      <c r="X25" s="77"/>
      <c r="Z25" s="77"/>
    </row>
    <row r="26" spans="1:32">
      <c r="A26" s="82"/>
      <c r="B26" s="82"/>
      <c r="C26" s="15">
        <f t="shared" ref="C26:C36" si="5">C25-1</f>
        <v>299</v>
      </c>
      <c r="D26" s="83">
        <v>14.544852569053996</v>
      </c>
      <c r="E26" s="83">
        <f t="shared" ref="E26:E47" si="6">g_(11,D26,C26)</f>
        <v>1.6649260590541624</v>
      </c>
      <c r="F26" s="17">
        <f t="shared" ref="F26:F47" si="7">Z_(11,D26,C26)</f>
        <v>1.0066701961273381</v>
      </c>
      <c r="G26" s="83">
        <f t="shared" ref="G26:G47" si="8">cp_(11,D26,C26)</f>
        <v>5.1919915729670612</v>
      </c>
      <c r="H26" s="77">
        <f t="shared" si="0"/>
        <v>7.9769656140704512</v>
      </c>
      <c r="I26" s="17">
        <f t="shared" ref="I26:I47" si="9">$G$10*2*PI()*L26/0.64/SQRT(E26*F26*$G$11/$G$12*C26*2/(E26+1))</f>
        <v>-1.413752222739022E-3</v>
      </c>
      <c r="J26" s="83">
        <f t="shared" si="1"/>
        <v>45.169578943647103</v>
      </c>
      <c r="K26" s="83">
        <f t="shared" si="2"/>
        <v>2727.6079389732959</v>
      </c>
      <c r="L26" s="77">
        <f t="shared" si="3"/>
        <v>-11.895561915012832</v>
      </c>
      <c r="M26" s="83">
        <f t="shared" si="4"/>
        <v>209.4986257587945</v>
      </c>
      <c r="O26" s="77"/>
      <c r="P26" s="77"/>
      <c r="Q26" s="77"/>
      <c r="R26" s="77"/>
      <c r="S26" s="77"/>
      <c r="T26" s="77"/>
      <c r="U26" s="83"/>
      <c r="V26" s="77"/>
      <c r="W26" s="84"/>
      <c r="X26" s="77"/>
      <c r="Z26" s="77"/>
    </row>
    <row r="27" spans="1:32">
      <c r="A27" s="82"/>
      <c r="B27" s="82"/>
      <c r="C27" s="15">
        <f t="shared" si="5"/>
        <v>298</v>
      </c>
      <c r="D27" s="83">
        <v>14.655058059616071</v>
      </c>
      <c r="E27" s="83">
        <f t="shared" si="6"/>
        <v>1.6649080350564915</v>
      </c>
      <c r="F27" s="17">
        <f t="shared" si="7"/>
        <v>1.0067464253012279</v>
      </c>
      <c r="G27" s="83">
        <f t="shared" si="8"/>
        <v>5.1919898219899396</v>
      </c>
      <c r="H27" s="77">
        <f t="shared" si="0"/>
        <v>8.0505760939598474</v>
      </c>
      <c r="I27" s="17">
        <f t="shared" si="9"/>
        <v>-1.4401775249711474E-3</v>
      </c>
      <c r="J27" s="83">
        <f t="shared" si="1"/>
        <v>45.169533025375962</v>
      </c>
      <c r="K27" s="83">
        <f t="shared" si="2"/>
        <v>2743.5608219724281</v>
      </c>
      <c r="L27" s="77">
        <f t="shared" si="3"/>
        <v>-12.098061519642515</v>
      </c>
      <c r="M27" s="83">
        <f t="shared" si="4"/>
        <v>208.79827406083962</v>
      </c>
      <c r="O27" s="77"/>
      <c r="P27" s="77"/>
      <c r="Q27" s="77"/>
      <c r="R27" s="77"/>
      <c r="S27" s="77"/>
      <c r="T27" s="77"/>
      <c r="U27" s="83"/>
      <c r="V27" s="77"/>
      <c r="W27" s="84"/>
      <c r="X27" s="77"/>
      <c r="Z27" s="77"/>
    </row>
    <row r="28" spans="1:32">
      <c r="A28" s="82"/>
      <c r="B28" s="82"/>
      <c r="C28" s="15">
        <f t="shared" si="5"/>
        <v>297</v>
      </c>
      <c r="D28" s="83">
        <v>14.763676969561578</v>
      </c>
      <c r="E28" s="83">
        <f t="shared" si="6"/>
        <v>1.6648901129211318</v>
      </c>
      <c r="F28" s="17">
        <f t="shared" si="7"/>
        <v>1.0068224848585221</v>
      </c>
      <c r="G28" s="83">
        <f t="shared" si="8"/>
        <v>5.1919884106350906</v>
      </c>
      <c r="H28" s="77">
        <f t="shared" si="0"/>
        <v>8.1235798325024913</v>
      </c>
      <c r="I28" s="17">
        <f t="shared" si="9"/>
        <v>-1.4669165870235714E-3</v>
      </c>
      <c r="J28" s="83">
        <f t="shared" si="1"/>
        <v>45.169486573319105</v>
      </c>
      <c r="K28" s="83">
        <f t="shared" si="2"/>
        <v>2759.139331647335</v>
      </c>
      <c r="L28" s="77">
        <f t="shared" si="3"/>
        <v>-12.302427067563265</v>
      </c>
      <c r="M28" s="83">
        <f t="shared" si="4"/>
        <v>208.09792006806873</v>
      </c>
      <c r="O28" s="77"/>
      <c r="P28" s="77"/>
      <c r="Q28" s="77"/>
      <c r="R28" s="77"/>
      <c r="S28" s="77"/>
      <c r="T28" s="77"/>
      <c r="U28" s="83"/>
      <c r="V28" s="77"/>
      <c r="W28" s="84"/>
      <c r="X28" s="77"/>
      <c r="Z28" s="77"/>
    </row>
    <row r="29" spans="1:32">
      <c r="A29" s="82"/>
      <c r="B29" s="82"/>
      <c r="C29" s="15">
        <f t="shared" si="5"/>
        <v>296</v>
      </c>
      <c r="D29" s="83">
        <v>14.873101620957407</v>
      </c>
      <c r="E29" s="83">
        <f t="shared" si="6"/>
        <v>1.6648720091668869</v>
      </c>
      <c r="F29" s="17">
        <f t="shared" si="7"/>
        <v>1.0068994841515588</v>
      </c>
      <c r="G29" s="83">
        <f t="shared" si="8"/>
        <v>5.1919871751921551</v>
      </c>
      <c r="H29" s="77">
        <f t="shared" si="0"/>
        <v>8.1972886230895536</v>
      </c>
      <c r="I29" s="17">
        <f t="shared" si="9"/>
        <v>-1.4942126959220682E-3</v>
      </c>
      <c r="J29" s="83">
        <f t="shared" si="1"/>
        <v>45.169439165390074</v>
      </c>
      <c r="K29" s="83">
        <f t="shared" si="2"/>
        <v>2774.7893782273286</v>
      </c>
      <c r="L29" s="77">
        <f t="shared" si="3"/>
        <v>-12.510686832638262</v>
      </c>
      <c r="M29" s="83">
        <f t="shared" si="4"/>
        <v>207.39756807737365</v>
      </c>
      <c r="O29" s="77"/>
      <c r="P29" s="77"/>
      <c r="Q29" s="77"/>
      <c r="R29" s="77"/>
      <c r="S29" s="77"/>
      <c r="T29" s="77"/>
      <c r="U29" s="83"/>
      <c r="V29" s="77"/>
      <c r="W29" s="84"/>
      <c r="X29" s="77"/>
      <c r="Z29" s="77"/>
    </row>
    <row r="30" spans="1:32">
      <c r="A30" s="82"/>
      <c r="B30" s="82"/>
      <c r="C30" s="15">
        <f t="shared" si="5"/>
        <v>295</v>
      </c>
      <c r="D30" s="83">
        <v>14.985814613994446</v>
      </c>
      <c r="E30" s="83">
        <f t="shared" si="6"/>
        <v>1.6648534266245301</v>
      </c>
      <c r="F30" s="17">
        <f t="shared" si="7"/>
        <v>1.0069785917575318</v>
      </c>
      <c r="G30" s="83">
        <f t="shared" si="8"/>
        <v>5.1919859505452477</v>
      </c>
      <c r="H30" s="77">
        <f t="shared" si="0"/>
        <v>8.273072401572648</v>
      </c>
      <c r="I30" s="17">
        <f t="shared" si="9"/>
        <v>-1.5223289187387995E-3</v>
      </c>
      <c r="J30" s="83">
        <f t="shared" si="1"/>
        <v>45.169390345599673</v>
      </c>
      <c r="K30" s="83">
        <f t="shared" si="2"/>
        <v>2790.9704661374872</v>
      </c>
      <c r="L30" s="77">
        <f t="shared" si="3"/>
        <v>-12.725021677830929</v>
      </c>
      <c r="M30" s="83">
        <f t="shared" si="4"/>
        <v>206.69722256089273</v>
      </c>
      <c r="O30" s="77"/>
      <c r="P30" s="77"/>
      <c r="Q30" s="77"/>
      <c r="R30" s="77"/>
      <c r="S30" s="77"/>
      <c r="T30" s="77"/>
      <c r="U30" s="83"/>
      <c r="V30" s="77"/>
      <c r="W30" s="84"/>
      <c r="X30" s="77"/>
      <c r="Z30" s="77"/>
    </row>
    <row r="31" spans="1:32">
      <c r="A31" s="82"/>
      <c r="B31" s="82"/>
      <c r="C31" s="15">
        <f t="shared" si="5"/>
        <v>294</v>
      </c>
      <c r="D31" s="83">
        <v>15.104385955218516</v>
      </c>
      <c r="E31" s="83">
        <f t="shared" si="6"/>
        <v>1.6648340546404652</v>
      </c>
      <c r="F31" s="17">
        <f t="shared" si="7"/>
        <v>1.0070610352489191</v>
      </c>
      <c r="G31" s="83">
        <f t="shared" si="8"/>
        <v>5.191984570859101</v>
      </c>
      <c r="H31" s="77">
        <f t="shared" si="0"/>
        <v>8.352358155547897</v>
      </c>
      <c r="I31" s="17">
        <f t="shared" si="9"/>
        <v>-1.5515487071481686E-3</v>
      </c>
      <c r="J31" s="83">
        <f t="shared" si="1"/>
        <v>45.169339623079324</v>
      </c>
      <c r="K31" s="83">
        <f t="shared" si="2"/>
        <v>2808.1549942297961</v>
      </c>
      <c r="L31" s="77">
        <f t="shared" si="3"/>
        <v>-12.947768737260693</v>
      </c>
      <c r="M31" s="83">
        <f t="shared" si="4"/>
        <v>205.99688816150308</v>
      </c>
      <c r="O31" s="77"/>
      <c r="P31" s="77"/>
      <c r="Q31" s="77"/>
      <c r="R31" s="77"/>
      <c r="S31" s="77"/>
      <c r="T31" s="77"/>
      <c r="U31" s="83"/>
      <c r="V31" s="77"/>
      <c r="W31" s="84"/>
      <c r="X31" s="77"/>
      <c r="Z31" s="77"/>
    </row>
    <row r="32" spans="1:32">
      <c r="A32" s="82"/>
      <c r="B32" s="82"/>
      <c r="C32" s="15">
        <f t="shared" si="5"/>
        <v>293</v>
      </c>
      <c r="D32" s="83">
        <v>15.231469985475488</v>
      </c>
      <c r="E32" s="83">
        <f t="shared" si="6"/>
        <v>1.6648135693255874</v>
      </c>
      <c r="F32" s="17">
        <f t="shared" si="7"/>
        <v>1.0071481008666789</v>
      </c>
      <c r="G32" s="83">
        <f t="shared" si="8"/>
        <v>5.1919828703171396</v>
      </c>
      <c r="H32" s="77">
        <f t="shared" si="0"/>
        <v>8.4366286971849416</v>
      </c>
      <c r="I32" s="17">
        <f t="shared" si="9"/>
        <v>-1.5821764927859984E-3</v>
      </c>
      <c r="J32" s="83">
        <f t="shared" si="1"/>
        <v>45.169286471137944</v>
      </c>
      <c r="K32" s="83">
        <f t="shared" si="2"/>
        <v>2826.8275170276779</v>
      </c>
      <c r="L32" s="77">
        <f t="shared" si="3"/>
        <v>-13.181424992504677</v>
      </c>
      <c r="M32" s="83">
        <f t="shared" si="4"/>
        <v>205.29656968771977</v>
      </c>
      <c r="O32" s="77"/>
      <c r="P32" s="77"/>
      <c r="Q32" s="77"/>
      <c r="R32" s="77"/>
      <c r="S32" s="77"/>
      <c r="T32" s="77"/>
      <c r="U32" s="83"/>
      <c r="V32" s="77"/>
      <c r="W32" s="84"/>
      <c r="X32" s="77"/>
      <c r="Z32" s="77"/>
    </row>
    <row r="33" spans="1:32">
      <c r="A33" s="82"/>
      <c r="B33" s="82"/>
      <c r="C33" s="15">
        <f t="shared" si="5"/>
        <v>292</v>
      </c>
      <c r="D33" s="83">
        <v>15.369805610081299</v>
      </c>
      <c r="E33" s="83">
        <f t="shared" si="6"/>
        <v>1.6647916334313906</v>
      </c>
      <c r="F33" s="17">
        <f t="shared" si="7"/>
        <v>1.0072411347473249</v>
      </c>
      <c r="G33" s="83">
        <f t="shared" si="8"/>
        <v>5.1919806836783913</v>
      </c>
      <c r="H33" s="77">
        <f t="shared" si="0"/>
        <v>8.5274232318742946</v>
      </c>
      <c r="I33" s="17">
        <f t="shared" si="9"/>
        <v>-1.6145386365718204E-3</v>
      </c>
      <c r="J33" s="83">
        <f t="shared" si="1"/>
        <v>45.169230325725877</v>
      </c>
      <c r="K33" s="83">
        <f t="shared" si="2"/>
        <v>2847.4846128966369</v>
      </c>
      <c r="L33" s="77">
        <f t="shared" si="3"/>
        <v>-13.428653779907044</v>
      </c>
      <c r="M33" s="83">
        <f t="shared" si="4"/>
        <v>204.59627211427278</v>
      </c>
      <c r="O33" s="77"/>
      <c r="P33" s="77"/>
      <c r="Q33" s="77"/>
      <c r="R33" s="77"/>
      <c r="S33" s="77"/>
      <c r="T33" s="77"/>
      <c r="U33" s="83"/>
      <c r="V33" s="77"/>
      <c r="W33" s="84"/>
      <c r="X33" s="77"/>
      <c r="Z33" s="77"/>
    </row>
    <row r="34" spans="1:32">
      <c r="A34" s="82"/>
      <c r="B34" s="82"/>
      <c r="C34" s="15">
        <f t="shared" si="5"/>
        <v>291</v>
      </c>
      <c r="D34" s="83">
        <v>15.5222285289473</v>
      </c>
      <c r="E34" s="83">
        <f t="shared" si="6"/>
        <v>1.6647678948009292</v>
      </c>
      <c r="F34" s="17">
        <f t="shared" si="7"/>
        <v>1.0073415498686367</v>
      </c>
      <c r="G34" s="83">
        <f t="shared" si="8"/>
        <v>5.1919778460877835</v>
      </c>
      <c r="H34" s="77">
        <f t="shared" si="0"/>
        <v>8.6263445566039927</v>
      </c>
      <c r="I34" s="17">
        <f t="shared" si="9"/>
        <v>-1.6489856760439901E-3</v>
      </c>
      <c r="J34" s="83">
        <f t="shared" si="1"/>
        <v>45.169170581674081</v>
      </c>
      <c r="K34" s="83">
        <f t="shared" si="2"/>
        <v>2870.6369524298361</v>
      </c>
      <c r="L34" s="77">
        <f t="shared" si="3"/>
        <v>-13.692302066883611</v>
      </c>
      <c r="M34" s="83">
        <f t="shared" si="4"/>
        <v>203.89600060402893</v>
      </c>
      <c r="O34" s="77"/>
      <c r="P34" s="77"/>
      <c r="Q34" s="77"/>
      <c r="R34" s="77"/>
      <c r="S34" s="77"/>
      <c r="T34" s="77"/>
      <c r="U34" s="83"/>
      <c r="V34" s="77"/>
      <c r="W34" s="84"/>
      <c r="X34" s="77"/>
      <c r="Z34" s="77"/>
    </row>
    <row r="35" spans="1:32">
      <c r="A35" s="82"/>
      <c r="B35" s="82"/>
      <c r="C35" s="15">
        <f t="shared" si="5"/>
        <v>290</v>
      </c>
      <c r="D35" s="83">
        <v>15.691715484272706</v>
      </c>
      <c r="E35" s="83">
        <f t="shared" si="6"/>
        <v>1.6647419809544055</v>
      </c>
      <c r="F35" s="17">
        <f t="shared" si="7"/>
        <v>1.0074508483950677</v>
      </c>
      <c r="G35" s="83">
        <f t="shared" si="8"/>
        <v>5.1919741908641628</v>
      </c>
      <c r="H35" s="77">
        <f t="shared" si="0"/>
        <v>8.7350840621800643</v>
      </c>
      <c r="I35" s="17">
        <f t="shared" si="9"/>
        <v>-1.6858981067797126E-3</v>
      </c>
      <c r="J35" s="83">
        <f t="shared" si="1"/>
        <v>45.169106582842211</v>
      </c>
      <c r="K35" s="83">
        <f t="shared" si="2"/>
        <v>2896.8172174775473</v>
      </c>
      <c r="L35" s="77">
        <f t="shared" si="3"/>
        <v>-13.975446982276189</v>
      </c>
      <c r="M35" s="83">
        <f t="shared" si="4"/>
        <v>203.19576058741859</v>
      </c>
      <c r="O35" s="77"/>
      <c r="P35" s="77"/>
      <c r="Q35" s="77"/>
      <c r="R35" s="77"/>
      <c r="S35" s="77"/>
      <c r="T35" s="77"/>
      <c r="U35" s="83"/>
      <c r="V35" s="77"/>
      <c r="W35" s="84"/>
      <c r="X35" s="77"/>
      <c r="Z35" s="77"/>
    </row>
    <row r="36" spans="1:32">
      <c r="A36" s="82"/>
      <c r="B36" s="82"/>
      <c r="C36" s="15">
        <f t="shared" si="5"/>
        <v>289</v>
      </c>
      <c r="D36" s="83">
        <v>15.881511584256959</v>
      </c>
      <c r="E36" s="83">
        <f t="shared" si="6"/>
        <v>1.6647134835648454</v>
      </c>
      <c r="F36" s="17">
        <f t="shared" si="7"/>
        <v>1.0075706842353847</v>
      </c>
      <c r="G36" s="83">
        <f t="shared" si="8"/>
        <v>5.1919695420487786</v>
      </c>
      <c r="H36" s="77">
        <f t="shared" si="0"/>
        <v>8.8554930989884593</v>
      </c>
      <c r="I36" s="17">
        <f t="shared" si="9"/>
        <v>-1.7257014818830658E-3</v>
      </c>
      <c r="J36" s="83">
        <f t="shared" si="1"/>
        <v>45.169037596174867</v>
      </c>
      <c r="K36" s="83">
        <f t="shared" si="2"/>
        <v>2926.6031612374622</v>
      </c>
      <c r="L36" s="77">
        <f t="shared" si="3"/>
        <v>-14.281519314934291</v>
      </c>
      <c r="M36" s="83">
        <f t="shared" si="4"/>
        <v>202.49555799170025</v>
      </c>
      <c r="O36" s="77"/>
      <c r="P36" s="77"/>
      <c r="Q36" s="77"/>
      <c r="R36" s="77"/>
      <c r="S36" s="77"/>
      <c r="T36" s="77"/>
      <c r="U36" s="83"/>
      <c r="V36" s="77"/>
      <c r="W36" s="84"/>
      <c r="X36" s="77"/>
      <c r="Z36" s="77"/>
    </row>
    <row r="37" spans="1:32" s="95" customFormat="1">
      <c r="A37" s="85"/>
      <c r="B37" s="82"/>
      <c r="C37" s="86">
        <v>18.399999999999999</v>
      </c>
      <c r="D37" s="86">
        <v>16</v>
      </c>
      <c r="E37" s="83">
        <f t="shared" si="6"/>
        <v>1.9332248593946404</v>
      </c>
      <c r="F37" s="17">
        <f t="shared" si="7"/>
        <v>0.99949500581222972</v>
      </c>
      <c r="G37" s="83">
        <f t="shared" si="8"/>
        <v>6.1212857804214593</v>
      </c>
      <c r="H37" s="89">
        <f t="shared" si="0"/>
        <v>35.5</v>
      </c>
      <c r="I37" s="90">
        <f t="shared" si="9"/>
        <v>1.0317359832222803</v>
      </c>
      <c r="J37" s="91">
        <f t="shared" si="1"/>
        <v>73.552473384083996</v>
      </c>
      <c r="K37" s="91">
        <f t="shared" si="2"/>
        <v>1482.3473214533301</v>
      </c>
      <c r="L37" s="89">
        <f t="shared" si="3"/>
        <v>2204.0116104256967</v>
      </c>
      <c r="M37" s="91">
        <f t="shared" si="4"/>
        <v>9.1296011203252547</v>
      </c>
      <c r="N37" s="82"/>
      <c r="O37" s="92"/>
      <c r="P37" s="92"/>
      <c r="Q37" s="92"/>
      <c r="R37" s="92"/>
      <c r="S37" s="92"/>
      <c r="T37" s="92"/>
      <c r="U37" s="93"/>
      <c r="V37" s="92"/>
      <c r="W37" s="94"/>
      <c r="X37" s="77"/>
      <c r="Y37"/>
      <c r="Z37" s="77"/>
      <c r="AA37"/>
      <c r="AB37"/>
      <c r="AC37"/>
      <c r="AD37"/>
      <c r="AE37"/>
      <c r="AF37"/>
    </row>
    <row r="38" spans="1:32">
      <c r="A38" s="82"/>
      <c r="B38" s="82"/>
      <c r="C38" s="15">
        <v>18</v>
      </c>
      <c r="D38" s="15">
        <v>16</v>
      </c>
      <c r="E38" s="83">
        <f t="shared" si="6"/>
        <v>1.9474735127385383</v>
      </c>
      <c r="F38" s="17">
        <f t="shared" si="7"/>
        <v>0.99559882429430524</v>
      </c>
      <c r="G38" s="83">
        <f t="shared" si="8"/>
        <v>6.1624157293366704</v>
      </c>
      <c r="H38" s="77">
        <f t="shared" si="0"/>
        <v>35.962439036007446</v>
      </c>
      <c r="I38" s="17">
        <f t="shared" si="9"/>
        <v>1.0379908965436417</v>
      </c>
      <c r="J38" s="83">
        <f t="shared" si="1"/>
        <v>73.488825506621566</v>
      </c>
      <c r="K38" s="83">
        <f t="shared" si="2"/>
        <v>1479.9124317400681</v>
      </c>
      <c r="L38" s="77">
        <f t="shared" si="3"/>
        <v>2191.5953830198569</v>
      </c>
      <c r="M38" s="83">
        <f t="shared" si="4"/>
        <v>8.9248180072740162</v>
      </c>
      <c r="O38" s="77"/>
      <c r="P38" s="77"/>
      <c r="Q38" s="77"/>
      <c r="R38" s="77"/>
      <c r="S38" s="77"/>
      <c r="T38" s="77"/>
      <c r="U38" s="83"/>
      <c r="V38" s="77"/>
      <c r="W38" s="84"/>
      <c r="X38" s="77"/>
      <c r="Z38" s="77"/>
    </row>
    <row r="39" spans="1:32">
      <c r="A39" s="82"/>
      <c r="B39" s="82"/>
      <c r="C39" s="15">
        <f t="shared" ref="C39:C47" si="10">C38-0.5</f>
        <v>17.5</v>
      </c>
      <c r="D39" s="15">
        <v>16</v>
      </c>
      <c r="E39" s="83">
        <f t="shared" si="6"/>
        <v>1.9667892860396321</v>
      </c>
      <c r="F39" s="17">
        <f t="shared" si="7"/>
        <v>0.99026231089194472</v>
      </c>
      <c r="G39" s="83">
        <f t="shared" si="8"/>
        <v>6.217559526779187</v>
      </c>
      <c r="H39" s="77">
        <f t="shared" si="0"/>
        <v>36.57071314092898</v>
      </c>
      <c r="I39" s="17">
        <f t="shared" si="9"/>
        <v>1.0460005928661948</v>
      </c>
      <c r="J39" s="83">
        <f t="shared" si="1"/>
        <v>73.390925715558495</v>
      </c>
      <c r="K39" s="83">
        <f t="shared" si="2"/>
        <v>1477.3493740936858</v>
      </c>
      <c r="L39" s="77">
        <f t="shared" si="3"/>
        <v>2175.4004492615563</v>
      </c>
      <c r="M39" s="83">
        <f t="shared" si="4"/>
        <v>8.6702320955393652</v>
      </c>
      <c r="O39" s="77"/>
      <c r="P39" s="77"/>
      <c r="Q39" s="77"/>
      <c r="R39" s="77"/>
      <c r="S39" s="77"/>
      <c r="T39" s="77"/>
      <c r="U39" s="83"/>
      <c r="V39" s="77"/>
      <c r="W39" s="84"/>
      <c r="X39" s="77"/>
      <c r="Z39" s="77"/>
    </row>
    <row r="40" spans="1:32">
      <c r="A40" s="82"/>
      <c r="B40" s="82"/>
      <c r="C40" s="15">
        <f t="shared" si="10"/>
        <v>17</v>
      </c>
      <c r="D40" s="15">
        <v>16</v>
      </c>
      <c r="E40" s="83">
        <f t="shared" si="6"/>
        <v>1.987953399097018</v>
      </c>
      <c r="F40" s="17">
        <f t="shared" si="7"/>
        <v>0.98435485314284199</v>
      </c>
      <c r="G40" s="83">
        <f t="shared" si="8"/>
        <v>6.277187749404626</v>
      </c>
      <c r="H40" s="77">
        <f t="shared" si="0"/>
        <v>37.215792762067814</v>
      </c>
      <c r="I40" s="17">
        <f t="shared" si="9"/>
        <v>1.0542463762087866</v>
      </c>
      <c r="J40" s="83">
        <f t="shared" si="1"/>
        <v>73.271095109858038</v>
      </c>
      <c r="K40" s="83">
        <f t="shared" si="2"/>
        <v>1475.3735176489035</v>
      </c>
      <c r="L40" s="77">
        <f t="shared" si="3"/>
        <v>2158.4211040328005</v>
      </c>
      <c r="M40" s="83">
        <f t="shared" si="4"/>
        <v>8.417198916693506</v>
      </c>
      <c r="O40" s="77"/>
      <c r="P40" s="77"/>
      <c r="Q40" s="77"/>
      <c r="R40" s="77"/>
      <c r="S40" s="77"/>
      <c r="T40" s="77"/>
      <c r="U40" s="83"/>
      <c r="V40" s="77"/>
      <c r="W40" s="84"/>
      <c r="X40" s="77"/>
      <c r="Z40" s="77"/>
    </row>
    <row r="41" spans="1:32">
      <c r="A41" s="82"/>
      <c r="B41" s="82"/>
      <c r="C41" s="15">
        <f t="shared" si="10"/>
        <v>16.5</v>
      </c>
      <c r="D41" s="15">
        <v>16</v>
      </c>
      <c r="E41" s="83">
        <f t="shared" si="6"/>
        <v>2.0111706899860593</v>
      </c>
      <c r="F41" s="17">
        <f t="shared" si="7"/>
        <v>0.97781458324230142</v>
      </c>
      <c r="G41" s="83">
        <f t="shared" si="8"/>
        <v>6.3416612325733315</v>
      </c>
      <c r="H41" s="77">
        <f t="shared" si="0"/>
        <v>37.901583217682038</v>
      </c>
      <c r="I41" s="17">
        <f t="shared" si="9"/>
        <v>1.062756714095155</v>
      </c>
      <c r="J41" s="83">
        <f t="shared" si="1"/>
        <v>73.127419174878554</v>
      </c>
      <c r="K41" s="83">
        <f t="shared" si="2"/>
        <v>1474.0349242534453</v>
      </c>
      <c r="L41" s="77">
        <f t="shared" si="3"/>
        <v>2140.6143411198109</v>
      </c>
      <c r="M41" s="83">
        <f t="shared" si="4"/>
        <v>8.1657439322561576</v>
      </c>
      <c r="O41" s="77"/>
      <c r="P41" s="77"/>
      <c r="Q41" s="77"/>
      <c r="R41" s="77"/>
      <c r="S41" s="77"/>
      <c r="T41" s="77"/>
      <c r="U41" s="83"/>
      <c r="V41" s="77"/>
      <c r="W41" s="84"/>
      <c r="X41" s="77"/>
      <c r="Z41" s="77"/>
    </row>
    <row r="42" spans="1:32">
      <c r="A42" s="82"/>
      <c r="B42" s="82"/>
      <c r="C42" s="15">
        <f t="shared" si="10"/>
        <v>16</v>
      </c>
      <c r="D42" s="15">
        <v>16</v>
      </c>
      <c r="E42" s="83">
        <f t="shared" si="6"/>
        <v>2.0366599719825222</v>
      </c>
      <c r="F42" s="17">
        <f t="shared" si="7"/>
        <v>0.97057426030021943</v>
      </c>
      <c r="G42" s="83">
        <f t="shared" si="8"/>
        <v>6.4113151768736145</v>
      </c>
      <c r="H42" s="77">
        <f t="shared" si="0"/>
        <v>38.632534635560297</v>
      </c>
      <c r="I42" s="17">
        <f t="shared" si="9"/>
        <v>1.0715618885198168</v>
      </c>
      <c r="J42" s="83">
        <f t="shared" si="1"/>
        <v>72.957714527834767</v>
      </c>
      <c r="K42" s="83">
        <f t="shared" si="2"/>
        <v>1473.3697031323077</v>
      </c>
      <c r="L42" s="77">
        <f t="shared" si="3"/>
        <v>2121.9267340496335</v>
      </c>
      <c r="M42" s="83">
        <f t="shared" si="4"/>
        <v>7.9159151680028845</v>
      </c>
      <c r="O42" s="77"/>
      <c r="P42" s="77"/>
      <c r="Q42" s="77"/>
      <c r="R42" s="77"/>
      <c r="S42" s="77"/>
      <c r="T42" s="77"/>
      <c r="U42" s="83"/>
      <c r="V42" s="77"/>
      <c r="W42" s="84"/>
      <c r="X42" s="77"/>
      <c r="Z42" s="77"/>
    </row>
    <row r="43" spans="1:32">
      <c r="A43" s="82"/>
      <c r="B43" s="82"/>
      <c r="C43" s="15">
        <f t="shared" si="10"/>
        <v>15.5</v>
      </c>
      <c r="D43" s="15">
        <v>16</v>
      </c>
      <c r="E43" s="83">
        <f t="shared" si="6"/>
        <v>2.064647487556829</v>
      </c>
      <c r="F43" s="17">
        <f t="shared" si="7"/>
        <v>0.96256189034641593</v>
      </c>
      <c r="G43" s="83">
        <f t="shared" si="8"/>
        <v>6.4864194679147351</v>
      </c>
      <c r="H43" s="77">
        <f t="shared" si="0"/>
        <v>39.413717380251349</v>
      </c>
      <c r="I43" s="17">
        <f t="shared" si="9"/>
        <v>1.0806915111463127</v>
      </c>
      <c r="J43" s="83">
        <f t="shared" si="1"/>
        <v>72.759570442874818</v>
      </c>
      <c r="K43" s="83">
        <f t="shared" si="2"/>
        <v>1473.3902386806856</v>
      </c>
      <c r="L43" s="77">
        <f t="shared" si="3"/>
        <v>2102.2878539661897</v>
      </c>
      <c r="M43" s="83">
        <f t="shared" si="4"/>
        <v>7.6677811085781453</v>
      </c>
      <c r="O43" s="77"/>
      <c r="P43" s="77"/>
      <c r="Q43" s="77"/>
      <c r="R43" s="77"/>
      <c r="S43" s="77"/>
      <c r="T43" s="77"/>
      <c r="U43" s="83"/>
      <c r="V43" s="77"/>
      <c r="W43" s="84"/>
      <c r="X43" s="77"/>
      <c r="Z43" s="77"/>
    </row>
    <row r="44" spans="1:32">
      <c r="A44" s="82"/>
      <c r="B44" s="82"/>
      <c r="C44" s="15">
        <f t="shared" si="10"/>
        <v>15</v>
      </c>
      <c r="D44" s="15">
        <v>16</v>
      </c>
      <c r="E44" s="83">
        <f t="shared" si="6"/>
        <v>2.0953546689658569</v>
      </c>
      <c r="F44" s="17">
        <f t="shared" si="7"/>
        <v>0.95370211150384776</v>
      </c>
      <c r="G44" s="83">
        <f t="shared" si="8"/>
        <v>6.567116031848216</v>
      </c>
      <c r="H44" s="77">
        <f t="shared" si="0"/>
        <v>40.250898297310762</v>
      </c>
      <c r="I44" s="17">
        <f t="shared" si="9"/>
        <v>1.090170261682623</v>
      </c>
      <c r="J44" s="83">
        <f t="shared" si="1"/>
        <v>72.53047647873646</v>
      </c>
      <c r="K44" s="83">
        <f t="shared" si="2"/>
        <v>1474.0713578275254</v>
      </c>
      <c r="L44" s="77">
        <f t="shared" si="3"/>
        <v>2081.600882460993</v>
      </c>
      <c r="M44" s="83">
        <f t="shared" si="4"/>
        <v>7.4214224766675319</v>
      </c>
      <c r="O44" s="77"/>
      <c r="P44" s="77"/>
      <c r="Q44" s="77"/>
      <c r="R44" s="77"/>
      <c r="S44" s="77"/>
      <c r="T44" s="77"/>
      <c r="U44" s="83"/>
      <c r="V44" s="77"/>
      <c r="W44" s="84"/>
      <c r="X44" s="77"/>
      <c r="Z44" s="77"/>
    </row>
    <row r="45" spans="1:32">
      <c r="A45" s="82"/>
      <c r="B45" s="82"/>
      <c r="C45" s="15">
        <f t="shared" si="10"/>
        <v>14.5</v>
      </c>
      <c r="D45" s="15">
        <v>16</v>
      </c>
      <c r="E45" s="83">
        <f t="shared" si="6"/>
        <v>2.1289769171082922</v>
      </c>
      <c r="F45" s="17">
        <f t="shared" si="7"/>
        <v>0.94391877411407843</v>
      </c>
      <c r="G45" s="83">
        <f t="shared" si="8"/>
        <v>6.6533222717864922</v>
      </c>
      <c r="H45" s="77">
        <f t="shared" si="0"/>
        <v>41.150608882003446</v>
      </c>
      <c r="I45" s="17">
        <f t="shared" si="9"/>
        <v>1.1000109346502147</v>
      </c>
      <c r="J45" s="83">
        <f t="shared" si="1"/>
        <v>72.268096028487946</v>
      </c>
      <c r="K45" s="83">
        <f t="shared" si="2"/>
        <v>1475.3310718616526</v>
      </c>
      <c r="L45" s="77">
        <f t="shared" si="3"/>
        <v>2059.729456596795</v>
      </c>
      <c r="M45" s="83">
        <f t="shared" si="4"/>
        <v>7.1769142408681734</v>
      </c>
      <c r="O45" s="77"/>
      <c r="P45" s="77"/>
      <c r="Q45" s="77"/>
      <c r="R45" s="77"/>
      <c r="S45" s="77"/>
      <c r="T45" s="77"/>
      <c r="U45" s="83"/>
      <c r="V45" s="77"/>
      <c r="W45" s="84"/>
      <c r="X45" s="77"/>
      <c r="Z45" s="77"/>
    </row>
    <row r="46" spans="1:32">
      <c r="A46" s="82"/>
      <c r="B46" s="82"/>
      <c r="C46" s="15">
        <f t="shared" si="10"/>
        <v>14</v>
      </c>
      <c r="D46" s="15">
        <v>16</v>
      </c>
      <c r="E46" s="83">
        <f t="shared" si="6"/>
        <v>2.165648313846432</v>
      </c>
      <c r="F46" s="17">
        <f t="shared" si="7"/>
        <v>0.93313934069004822</v>
      </c>
      <c r="G46" s="83">
        <f t="shared" si="8"/>
        <v>6.7445848894238445</v>
      </c>
      <c r="H46" s="77">
        <f t="shared" si="0"/>
        <v>42.120188993745543</v>
      </c>
      <c r="I46" s="17">
        <f t="shared" si="9"/>
        <v>1.1102034816957365</v>
      </c>
      <c r="J46" s="83">
        <f t="shared" si="1"/>
        <v>71.970775641415059</v>
      </c>
      <c r="K46" s="83">
        <f t="shared" si="2"/>
        <v>1477.0041299719003</v>
      </c>
      <c r="L46" s="77">
        <f t="shared" si="3"/>
        <v>2036.4795505030752</v>
      </c>
      <c r="M46" s="83">
        <f t="shared" si="4"/>
        <v>6.9342929054385269</v>
      </c>
      <c r="O46" s="77"/>
      <c r="P46" s="77"/>
      <c r="Q46" s="77"/>
      <c r="R46" s="77"/>
      <c r="S46" s="77"/>
      <c r="T46" s="77"/>
      <c r="U46" s="83"/>
      <c r="V46" s="77"/>
      <c r="W46" s="84"/>
      <c r="X46" s="77"/>
      <c r="Z46" s="77"/>
    </row>
    <row r="47" spans="1:32">
      <c r="A47" s="82"/>
      <c r="B47" s="82"/>
      <c r="C47" s="15">
        <f t="shared" si="10"/>
        <v>13.5</v>
      </c>
      <c r="D47" s="15">
        <v>16</v>
      </c>
      <c r="E47" s="83">
        <f t="shared" si="6"/>
        <v>2.2053842870345717</v>
      </c>
      <c r="F47" s="17">
        <f t="shared" si="7"/>
        <v>0.92130201890011876</v>
      </c>
      <c r="G47" s="83">
        <f t="shared" si="8"/>
        <v>6.8398615717878855</v>
      </c>
      <c r="H47" s="77">
        <f t="shared" si="0"/>
        <v>43.167776861986276</v>
      </c>
      <c r="I47" s="17">
        <f t="shared" si="9"/>
        <v>1.1206981777297509</v>
      </c>
      <c r="J47" s="83">
        <f t="shared" si="1"/>
        <v>71.638419419948008</v>
      </c>
      <c r="K47" s="83">
        <f t="shared" si="2"/>
        <v>1478.805974748579</v>
      </c>
      <c r="L47" s="77">
        <f t="shared" si="3"/>
        <v>2011.5749345562435</v>
      </c>
      <c r="M47" s="83">
        <f t="shared" si="4"/>
        <v>6.693502993614473</v>
      </c>
      <c r="O47" s="77"/>
      <c r="P47" s="77"/>
      <c r="Q47" s="77"/>
      <c r="R47" s="77"/>
      <c r="S47" s="77"/>
      <c r="T47" s="77"/>
      <c r="U47" s="83"/>
      <c r="V47" s="77"/>
      <c r="W47" s="84"/>
      <c r="X47" s="77"/>
      <c r="Z47" s="77"/>
    </row>
  </sheetData>
  <phoneticPr fontId="10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6"/>
  <dimension ref="A5:AF47"/>
  <sheetViews>
    <sheetView workbookViewId="0">
      <selection activeCell="G27" sqref="G27"/>
    </sheetView>
  </sheetViews>
  <sheetFormatPr defaultColWidth="11.42578125" defaultRowHeight="12.75"/>
  <cols>
    <col min="1" max="1" width="11.42578125" customWidth="1"/>
    <col min="2" max="2" width="21.28515625" bestFit="1" customWidth="1"/>
    <col min="3" max="3" width="11.42578125" customWidth="1"/>
    <col min="4" max="4" width="13.5703125" bestFit="1" customWidth="1"/>
    <col min="5" max="5" width="12.42578125" bestFit="1" customWidth="1"/>
    <col min="6" max="10" width="11.42578125" customWidth="1"/>
    <col min="11" max="12" width="11.5703125" bestFit="1" customWidth="1"/>
    <col min="13" max="16" width="11.42578125" customWidth="1"/>
    <col min="17" max="17" width="13.5703125" bestFit="1" customWidth="1"/>
    <col min="18" max="20" width="11.42578125" customWidth="1"/>
    <col min="21" max="22" width="11.42578125" style="15" customWidth="1"/>
    <col min="23" max="23" width="11.5703125" bestFit="1" customWidth="1"/>
  </cols>
  <sheetData>
    <row r="5" spans="2:7">
      <c r="B5" s="60" t="s">
        <v>107</v>
      </c>
      <c r="C5" s="61">
        <v>26.75</v>
      </c>
      <c r="D5" s="60" t="s">
        <v>84</v>
      </c>
      <c r="F5" s="62" t="s">
        <v>108</v>
      </c>
      <c r="G5" s="63">
        <v>-0.19543252</v>
      </c>
    </row>
    <row r="6" spans="2:7">
      <c r="B6" s="64" t="s">
        <v>109</v>
      </c>
      <c r="C6" s="61">
        <v>12.3</v>
      </c>
      <c r="D6" s="64" t="s">
        <v>110</v>
      </c>
      <c r="F6" s="62" t="s">
        <v>111</v>
      </c>
      <c r="G6" s="63">
        <v>1.9332132234790176</v>
      </c>
    </row>
    <row r="7" spans="2:7">
      <c r="B7" s="64" t="s">
        <v>112</v>
      </c>
      <c r="C7" s="65">
        <v>30.92</v>
      </c>
      <c r="D7" s="64" t="s">
        <v>87</v>
      </c>
      <c r="F7" s="15" t="s">
        <v>113</v>
      </c>
      <c r="G7" s="63">
        <v>0.99949893412208324</v>
      </c>
    </row>
    <row r="8" spans="2:7">
      <c r="B8" s="64" t="s">
        <v>114</v>
      </c>
      <c r="C8" s="61">
        <v>5.5</v>
      </c>
      <c r="D8" s="64" t="s">
        <v>110</v>
      </c>
      <c r="F8" s="15" t="s">
        <v>89</v>
      </c>
      <c r="G8" s="66">
        <f>cp_(11,C6,C7)</f>
        <v>5.4522121967317716</v>
      </c>
    </row>
    <row r="9" spans="2:7">
      <c r="B9" s="64" t="s">
        <v>115</v>
      </c>
      <c r="C9" s="67">
        <f>C7-1.359*C12/(C5*G8)</f>
        <v>16.473737512814324</v>
      </c>
      <c r="D9" s="64" t="s">
        <v>87</v>
      </c>
      <c r="E9" s="68"/>
      <c r="F9" s="15" t="s">
        <v>116</v>
      </c>
      <c r="G9" s="69">
        <v>5.5539999999999996E-10</v>
      </c>
    </row>
    <row r="10" spans="2:7">
      <c r="B10" s="64" t="s">
        <v>117</v>
      </c>
      <c r="C10" s="70">
        <f>0.523*C5*G8/G9/G15^2*(2*C7/(G6+1)-C8/(G7*G11/G12*C7))/2/PI()/(-0.00003*C7^3+0.0023*C7^2-0.0502*C7+1.2977)</f>
        <v>2270.0772067378011</v>
      </c>
      <c r="D10" s="64" t="s">
        <v>118</v>
      </c>
      <c r="F10" s="15" t="s">
        <v>119</v>
      </c>
      <c r="G10" s="71">
        <v>1.0699999999999999E-2</v>
      </c>
    </row>
    <row r="11" spans="2:7">
      <c r="B11" s="64" t="s">
        <v>120</v>
      </c>
      <c r="C11" s="67">
        <f>45+28.7*EXP(-(G16-1)^2/G5)</f>
        <v>68.207735036851375</v>
      </c>
      <c r="D11" s="64" t="s">
        <v>106</v>
      </c>
      <c r="F11" s="15" t="s">
        <v>121</v>
      </c>
      <c r="G11" s="63">
        <v>8.3144720000000003</v>
      </c>
    </row>
    <row r="12" spans="2:7">
      <c r="B12" s="64" t="s">
        <v>122</v>
      </c>
      <c r="C12" s="72">
        <f>0.667*C11/100*C5*G8*C7*(G6-1)/(G6+1)+0.428*C11/100*C5*G8*(2*C7/(G6+1)-C8/(G7*G11/G12*C7))</f>
        <v>1550.3600943140173</v>
      </c>
      <c r="D12" s="64" t="s">
        <v>123</v>
      </c>
      <c r="F12" s="15" t="s">
        <v>124</v>
      </c>
      <c r="G12" s="63">
        <v>4.0026000000000003E-3</v>
      </c>
    </row>
    <row r="13" spans="2:7">
      <c r="B13" s="64" t="s">
        <v>125</v>
      </c>
      <c r="C13" s="73">
        <f>C5*SQRT(G7*C7)/C6</f>
        <v>12.090091430606405</v>
      </c>
      <c r="D13" s="66" t="s">
        <v>126</v>
      </c>
      <c r="F13" s="15" t="s">
        <v>127</v>
      </c>
      <c r="G13" s="68">
        <v>2.4399999999999999E-6</v>
      </c>
    </row>
    <row r="14" spans="2:7" ht="15.75">
      <c r="B14" s="64"/>
      <c r="C14" s="73"/>
      <c r="D14" s="66"/>
      <c r="F14" s="74" t="s">
        <v>134</v>
      </c>
      <c r="G14" s="75">
        <v>2205</v>
      </c>
    </row>
    <row r="15" spans="2:7" ht="15.75">
      <c r="F15" s="62" t="s">
        <v>135</v>
      </c>
      <c r="G15" s="75">
        <f>2*PI()*G14</f>
        <v>13854.423602330988</v>
      </c>
    </row>
    <row r="16" spans="2:7">
      <c r="F16" s="62" t="s">
        <v>83</v>
      </c>
      <c r="G16" s="75">
        <f>G10*2*PI()*G14/0.64/SQRT(G6*G7*G11/G12*C7*2/(G6+1))</f>
        <v>0.79625478328451438</v>
      </c>
    </row>
    <row r="17" spans="1:32">
      <c r="D17" s="76"/>
    </row>
    <row r="18" spans="1:32">
      <c r="C18" s="77"/>
      <c r="D18" s="78"/>
    </row>
    <row r="19" spans="1:32">
      <c r="C19" s="77"/>
      <c r="D19" s="78"/>
    </row>
    <row r="20" spans="1:32">
      <c r="C20" s="77"/>
      <c r="D20" s="78"/>
    </row>
    <row r="21" spans="1:32">
      <c r="C21" s="17"/>
      <c r="D21" s="76"/>
    </row>
    <row r="22" spans="1:32" ht="11.25" customHeight="1">
      <c r="F22" s="79"/>
      <c r="G22" s="80"/>
    </row>
    <row r="23" spans="1:32">
      <c r="F23" s="79"/>
      <c r="G23" s="80"/>
      <c r="Q23" s="81"/>
      <c r="AE23" s="81"/>
    </row>
    <row r="24" spans="1:32">
      <c r="C24" s="178" t="s">
        <v>128</v>
      </c>
      <c r="D24" s="178" t="s">
        <v>86</v>
      </c>
      <c r="E24" s="179" t="s">
        <v>111</v>
      </c>
      <c r="F24" s="178" t="s">
        <v>113</v>
      </c>
      <c r="G24" s="178" t="s">
        <v>89</v>
      </c>
      <c r="H24" s="178" t="s">
        <v>129</v>
      </c>
      <c r="I24" s="179" t="s">
        <v>83</v>
      </c>
      <c r="J24" s="178" t="s">
        <v>130</v>
      </c>
      <c r="K24" s="178" t="s">
        <v>131</v>
      </c>
      <c r="L24" s="178" t="s">
        <v>132</v>
      </c>
      <c r="M24" s="178" t="s">
        <v>133</v>
      </c>
      <c r="O24" s="15"/>
      <c r="P24" s="15"/>
      <c r="Q24" s="15"/>
      <c r="R24" s="15"/>
      <c r="S24" s="15"/>
      <c r="T24" s="15"/>
      <c r="W24" s="15"/>
      <c r="X24" s="15"/>
      <c r="Y24" s="15"/>
      <c r="Z24" s="15"/>
      <c r="AA24" s="15"/>
      <c r="AB24" s="15"/>
      <c r="AC24" s="15"/>
      <c r="AD24" s="15"/>
      <c r="AF24" s="15"/>
    </row>
    <row r="25" spans="1:32">
      <c r="A25" s="82"/>
      <c r="B25" s="82"/>
      <c r="C25" s="15">
        <v>30</v>
      </c>
      <c r="D25" s="15">
        <v>16</v>
      </c>
      <c r="E25" s="83">
        <v>1.7408929992276008</v>
      </c>
      <c r="F25" s="17">
        <v>1.0368403843148541</v>
      </c>
      <c r="G25" s="83">
        <v>5.5108880470745749</v>
      </c>
      <c r="H25" s="77">
        <f t="shared" ref="H25:H47" si="0">$C$13*D25/SQRT(F25*C25)</f>
        <v>34.68430433960404</v>
      </c>
      <c r="I25" s="17">
        <f t="shared" ref="I25:I47" si="1">$G$10*2*PI()*L25/0.64/SQRT(E25*F25*$G$11/$G$12*C25*2/(E25+1))</f>
        <v>1.1390034976777192</v>
      </c>
      <c r="J25" s="83">
        <f t="shared" ref="J25:J47" si="2">45+28.7*EXP(-(I25-1)^2/$G$5)</f>
        <v>70.998253916648935</v>
      </c>
      <c r="K25" s="83">
        <f t="shared" ref="K25:K47" si="3">J25/100*H25*(0.667*G25*C25*(E25-1)/(E25+1))+0.428*J25/100*H25*G25*(2*C25/(E25+1)-$C$8/(F25*$G$11/$G$12*C25))</f>
        <v>2005.4905156150053</v>
      </c>
      <c r="L25" s="77">
        <f t="shared" ref="L25:L47" si="4">0.523*H25*G25/$G$9/$G$15^2*(2*C25/(E25+1)-$C$8/(F25*$G$11/$G$12*C25))/2/PI()/(-0.00003*C25^3+0.0023*C25^2-0.0502*C25+1.2977)</f>
        <v>3106.4130620455703</v>
      </c>
      <c r="M25" s="83">
        <f t="shared" ref="M25:M47" si="5">C25-1.359*K25/(H25*G25)</f>
        <v>15.741117429250357</v>
      </c>
      <c r="O25" s="77"/>
      <c r="P25" s="77"/>
      <c r="Q25" s="77"/>
      <c r="R25" s="77"/>
      <c r="S25" s="77"/>
      <c r="T25" s="77"/>
      <c r="U25" s="83"/>
      <c r="V25" s="77"/>
      <c r="W25" s="84"/>
      <c r="X25" s="77"/>
      <c r="Z25" s="77"/>
    </row>
    <row r="26" spans="1:32">
      <c r="A26" s="82"/>
      <c r="B26" s="82"/>
      <c r="C26" s="15">
        <f t="shared" ref="C26:C36" si="6">C25-1</f>
        <v>29</v>
      </c>
      <c r="D26" s="15">
        <v>16</v>
      </c>
      <c r="E26" s="83">
        <v>1.7481226253620845</v>
      </c>
      <c r="F26" s="17">
        <v>1.0362679960434322</v>
      </c>
      <c r="G26" s="83">
        <v>5.5362575111970891</v>
      </c>
      <c r="H26" s="77">
        <f t="shared" si="0"/>
        <v>35.286982824947991</v>
      </c>
      <c r="I26" s="17">
        <f t="shared" si="1"/>
        <v>1.1488371785477007</v>
      </c>
      <c r="J26" s="83">
        <f t="shared" si="2"/>
        <v>70.624423715593338</v>
      </c>
      <c r="K26" s="83">
        <f t="shared" si="3"/>
        <v>1972.8090783565531</v>
      </c>
      <c r="L26" s="77">
        <f t="shared" si="4"/>
        <v>3082.0450633252208</v>
      </c>
      <c r="M26" s="83">
        <f t="shared" si="5"/>
        <v>15.276221312550973</v>
      </c>
      <c r="O26" s="77"/>
      <c r="P26" s="77"/>
      <c r="Q26" s="77"/>
      <c r="R26" s="77"/>
      <c r="S26" s="77"/>
      <c r="T26" s="77"/>
      <c r="U26" s="83"/>
      <c r="V26" s="77"/>
      <c r="W26" s="84"/>
      <c r="X26" s="77"/>
      <c r="Z26" s="77"/>
    </row>
    <row r="27" spans="1:32">
      <c r="A27" s="82"/>
      <c r="B27" s="82"/>
      <c r="C27" s="15">
        <f t="shared" si="6"/>
        <v>28</v>
      </c>
      <c r="D27" s="15">
        <v>16</v>
      </c>
      <c r="E27" s="83">
        <v>1.7562323913610176</v>
      </c>
      <c r="F27" s="17">
        <v>1.0354412808482836</v>
      </c>
      <c r="G27" s="83">
        <v>5.5643371151203889</v>
      </c>
      <c r="H27" s="77">
        <f t="shared" si="0"/>
        <v>35.92591305279452</v>
      </c>
      <c r="I27" s="17">
        <f t="shared" si="1"/>
        <v>1.1598671815602617</v>
      </c>
      <c r="J27" s="83">
        <f t="shared" si="2"/>
        <v>70.181837566739802</v>
      </c>
      <c r="K27" s="83">
        <f t="shared" si="3"/>
        <v>1938.9017998022559</v>
      </c>
      <c r="L27" s="77">
        <f t="shared" si="4"/>
        <v>3058.8674403727337</v>
      </c>
      <c r="M27" s="83">
        <f t="shared" si="5"/>
        <v>14.818828150100616</v>
      </c>
      <c r="O27" s="77"/>
      <c r="P27" s="77"/>
      <c r="Q27" s="77"/>
      <c r="R27" s="77"/>
      <c r="S27" s="77"/>
      <c r="T27" s="77"/>
      <c r="U27" s="83"/>
      <c r="V27" s="77"/>
      <c r="W27" s="84"/>
      <c r="X27" s="77"/>
      <c r="Z27" s="77"/>
    </row>
    <row r="28" spans="1:32">
      <c r="A28" s="82"/>
      <c r="B28" s="82"/>
      <c r="C28" s="15">
        <f t="shared" si="6"/>
        <v>27</v>
      </c>
      <c r="D28" s="15">
        <v>16</v>
      </c>
      <c r="E28" s="83">
        <v>1.7653787318494789</v>
      </c>
      <c r="F28" s="17">
        <v>1.0343181514717905</v>
      </c>
      <c r="G28" s="83">
        <v>5.5955837081318034</v>
      </c>
      <c r="H28" s="77">
        <f t="shared" si="0"/>
        <v>36.605016979240148</v>
      </c>
      <c r="I28" s="17">
        <f t="shared" si="1"/>
        <v>1.1719939929124041</v>
      </c>
      <c r="J28" s="83">
        <f t="shared" si="2"/>
        <v>69.668586628865839</v>
      </c>
      <c r="K28" s="83">
        <f t="shared" si="3"/>
        <v>1903.8945492805938</v>
      </c>
      <c r="L28" s="77">
        <f t="shared" si="4"/>
        <v>3036.3619790646385</v>
      </c>
      <c r="M28" s="83">
        <f t="shared" si="5"/>
        <v>14.367877238631612</v>
      </c>
      <c r="O28" s="77"/>
      <c r="P28" s="77"/>
      <c r="Q28" s="77"/>
      <c r="R28" s="77"/>
      <c r="S28" s="77"/>
      <c r="T28" s="77"/>
      <c r="U28" s="83"/>
      <c r="V28" s="77"/>
      <c r="W28" s="84"/>
      <c r="X28" s="77"/>
      <c r="Z28" s="77"/>
    </row>
    <row r="29" spans="1:32">
      <c r="A29" s="82"/>
      <c r="B29" s="82"/>
      <c r="C29" s="15">
        <f t="shared" si="6"/>
        <v>26</v>
      </c>
      <c r="D29" s="15">
        <v>16</v>
      </c>
      <c r="E29" s="83">
        <v>1.7757537543278621</v>
      </c>
      <c r="F29" s="17">
        <v>1.032846201210855</v>
      </c>
      <c r="G29" s="83">
        <v>5.6305507238728136</v>
      </c>
      <c r="H29" s="77">
        <f t="shared" si="0"/>
        <v>37.328889100195425</v>
      </c>
      <c r="I29" s="17">
        <f t="shared" si="1"/>
        <v>1.1851229913581427</v>
      </c>
      <c r="J29" s="83">
        <f t="shared" si="2"/>
        <v>69.083809457194292</v>
      </c>
      <c r="K29" s="83">
        <f t="shared" si="3"/>
        <v>1867.966250489241</v>
      </c>
      <c r="L29" s="77">
        <f t="shared" si="4"/>
        <v>3014.0218500281389</v>
      </c>
      <c r="M29" s="83">
        <f t="shared" si="5"/>
        <v>13.922069082895819</v>
      </c>
      <c r="O29" s="77"/>
      <c r="P29" s="77"/>
      <c r="Q29" s="77"/>
      <c r="R29" s="77"/>
      <c r="S29" s="77"/>
      <c r="T29" s="77"/>
      <c r="U29" s="83"/>
      <c r="V29" s="77"/>
      <c r="W29" s="84"/>
      <c r="X29" s="77"/>
      <c r="Z29" s="77"/>
    </row>
    <row r="30" spans="1:32">
      <c r="A30" s="82"/>
      <c r="B30" s="82"/>
      <c r="C30" s="15">
        <f t="shared" si="6"/>
        <v>25</v>
      </c>
      <c r="D30" s="15">
        <v>16</v>
      </c>
      <c r="E30" s="83">
        <v>1.7875947558388432</v>
      </c>
      <c r="F30" s="17">
        <v>1.0309599030231358</v>
      </c>
      <c r="G30" s="83">
        <v>5.6699114117410003</v>
      </c>
      <c r="H30" s="77">
        <f t="shared" si="0"/>
        <v>38.102956610053262</v>
      </c>
      <c r="I30" s="17">
        <f t="shared" si="1"/>
        <v>1.1991658546021817</v>
      </c>
      <c r="J30" s="83">
        <f t="shared" si="2"/>
        <v>68.427876480595657</v>
      </c>
      <c r="K30" s="83">
        <f t="shared" si="3"/>
        <v>1831.3566658867915</v>
      </c>
      <c r="L30" s="77">
        <f t="shared" si="4"/>
        <v>2991.3513748306418</v>
      </c>
      <c r="M30" s="83">
        <f t="shared" si="5"/>
        <v>13.479868388640167</v>
      </c>
      <c r="O30" s="77"/>
      <c r="P30" s="77"/>
      <c r="Q30" s="77"/>
      <c r="R30" s="77"/>
      <c r="S30" s="77"/>
      <c r="T30" s="77"/>
      <c r="U30" s="83"/>
      <c r="V30" s="77"/>
      <c r="W30" s="84"/>
      <c r="X30" s="77"/>
      <c r="Z30" s="77"/>
    </row>
    <row r="31" spans="1:32">
      <c r="A31" s="82"/>
      <c r="B31" s="82"/>
      <c r="C31" s="15">
        <f t="shared" si="6"/>
        <v>24</v>
      </c>
      <c r="D31" s="15">
        <v>16</v>
      </c>
      <c r="E31" s="83">
        <v>1.8011966135148756</v>
      </c>
      <c r="F31" s="17">
        <v>1.0285770832095811</v>
      </c>
      <c r="G31" s="83">
        <v>5.7144881062806432</v>
      </c>
      <c r="H31" s="77">
        <f t="shared" si="0"/>
        <v>38.933686272534977</v>
      </c>
      <c r="I31" s="17">
        <f t="shared" si="1"/>
        <v>1.2140432455149379</v>
      </c>
      <c r="J31" s="83">
        <f t="shared" si="2"/>
        <v>67.702405367193393</v>
      </c>
      <c r="K31" s="83">
        <f t="shared" si="3"/>
        <v>1794.3704598089107</v>
      </c>
      <c r="L31" s="77">
        <f t="shared" si="4"/>
        <v>2967.8676655996437</v>
      </c>
      <c r="M31" s="83">
        <f t="shared" si="5"/>
        <v>13.039541814733454</v>
      </c>
      <c r="O31" s="77"/>
      <c r="P31" s="77"/>
      <c r="Q31" s="77"/>
      <c r="R31" s="77"/>
      <c r="S31" s="77"/>
      <c r="T31" s="77"/>
      <c r="U31" s="83"/>
      <c r="V31" s="77"/>
      <c r="W31" s="84"/>
      <c r="X31" s="77"/>
      <c r="Z31" s="77"/>
    </row>
    <row r="32" spans="1:32">
      <c r="A32" s="82"/>
      <c r="B32" s="82"/>
      <c r="C32" s="15">
        <f t="shared" si="6"/>
        <v>23</v>
      </c>
      <c r="D32" s="15">
        <v>16</v>
      </c>
      <c r="E32" s="83">
        <v>1.8169277997562179</v>
      </c>
      <c r="F32" s="17">
        <v>1.025594468502611</v>
      </c>
      <c r="G32" s="83">
        <v>5.7652882482507106</v>
      </c>
      <c r="H32" s="77">
        <f t="shared" si="0"/>
        <v>39.828854398381516</v>
      </c>
      <c r="I32" s="17">
        <f t="shared" si="1"/>
        <v>1.2296889865708631</v>
      </c>
      <c r="J32" s="83">
        <f t="shared" si="2"/>
        <v>66.910084522886507</v>
      </c>
      <c r="K32" s="83">
        <f t="shared" si="3"/>
        <v>1757.3772970459436</v>
      </c>
      <c r="L32" s="77">
        <f t="shared" si="4"/>
        <v>2943.1038115702413</v>
      </c>
      <c r="M32" s="83">
        <f t="shared" si="5"/>
        <v>12.599226764092169</v>
      </c>
      <c r="O32" s="77"/>
      <c r="P32" s="77"/>
      <c r="Q32" s="77"/>
      <c r="R32" s="77"/>
      <c r="S32" s="77"/>
      <c r="T32" s="77"/>
      <c r="U32" s="83"/>
      <c r="V32" s="77"/>
      <c r="W32" s="84"/>
      <c r="X32" s="77"/>
      <c r="Z32" s="77"/>
    </row>
    <row r="33" spans="1:32">
      <c r="A33" s="82"/>
      <c r="B33" s="82"/>
      <c r="C33" s="15">
        <f t="shared" si="6"/>
        <v>22</v>
      </c>
      <c r="D33" s="15">
        <v>16</v>
      </c>
      <c r="E33" s="83">
        <v>1.8352508836003305</v>
      </c>
      <c r="F33" s="17">
        <v>1.0218821400636711</v>
      </c>
      <c r="G33" s="83">
        <v>5.8235473059030589</v>
      </c>
      <c r="H33" s="77">
        <f t="shared" si="0"/>
        <v>40.797901305993648</v>
      </c>
      <c r="I33" s="17">
        <f t="shared" si="1"/>
        <v>1.2460558215730559</v>
      </c>
      <c r="J33" s="83">
        <f t="shared" si="2"/>
        <v>66.054302595481303</v>
      </c>
      <c r="K33" s="83">
        <f t="shared" si="3"/>
        <v>1720.80801774213</v>
      </c>
      <c r="L33" s="77">
        <f t="shared" si="4"/>
        <v>2916.6128500310938</v>
      </c>
      <c r="M33" s="83">
        <f t="shared" si="5"/>
        <v>12.1570235300329</v>
      </c>
      <c r="O33" s="77"/>
      <c r="P33" s="77"/>
      <c r="Q33" s="77"/>
      <c r="R33" s="77"/>
      <c r="S33" s="77"/>
      <c r="T33" s="77"/>
      <c r="U33" s="83"/>
      <c r="V33" s="77"/>
      <c r="W33" s="84"/>
      <c r="X33" s="77"/>
      <c r="Z33" s="77"/>
    </row>
    <row r="34" spans="1:32">
      <c r="A34" s="82"/>
      <c r="B34" s="82"/>
      <c r="C34" s="15">
        <f t="shared" si="6"/>
        <v>21</v>
      </c>
      <c r="D34" s="15">
        <v>16</v>
      </c>
      <c r="E34" s="83">
        <v>1.8567481881832419</v>
      </c>
      <c r="F34" s="17">
        <v>1.0172768032286581</v>
      </c>
      <c r="G34" s="83">
        <v>5.8907764945054364</v>
      </c>
      <c r="H34" s="77">
        <f t="shared" si="0"/>
        <v>41.85239829996685</v>
      </c>
      <c r="I34" s="17">
        <f t="shared" si="1"/>
        <v>1.2631225648207627</v>
      </c>
      <c r="J34" s="83">
        <f t="shared" si="2"/>
        <v>65.13862023627172</v>
      </c>
      <c r="K34" s="83">
        <f t="shared" si="3"/>
        <v>1685.1470735971777</v>
      </c>
      <c r="L34" s="77">
        <f t="shared" si="4"/>
        <v>2887.9708384505439</v>
      </c>
      <c r="M34" s="83">
        <f t="shared" si="5"/>
        <v>11.711098186296161</v>
      </c>
      <c r="O34" s="77"/>
      <c r="P34" s="77"/>
      <c r="Q34" s="77"/>
      <c r="R34" s="77"/>
      <c r="S34" s="77"/>
      <c r="T34" s="77"/>
      <c r="U34" s="83"/>
      <c r="V34" s="77"/>
      <c r="W34" s="84"/>
      <c r="X34" s="77"/>
      <c r="Z34" s="77"/>
    </row>
    <row r="35" spans="1:32">
      <c r="A35" s="82"/>
      <c r="B35" s="82"/>
      <c r="C35" s="15">
        <f t="shared" si="6"/>
        <v>20</v>
      </c>
      <c r="D35" s="15">
        <v>16</v>
      </c>
      <c r="E35" s="83">
        <v>1.882152354117387</v>
      </c>
      <c r="F35" s="17">
        <v>1.0115740241760403</v>
      </c>
      <c r="G35" s="83">
        <v>5.9688074236182658</v>
      </c>
      <c r="H35" s="77">
        <f t="shared" si="0"/>
        <v>43.00666199447371</v>
      </c>
      <c r="I35" s="17">
        <f t="shared" si="1"/>
        <v>1.2809016784495943</v>
      </c>
      <c r="J35" s="83">
        <f t="shared" si="2"/>
        <v>64.166189680228371</v>
      </c>
      <c r="K35" s="83">
        <f t="shared" si="3"/>
        <v>1650.9212233718924</v>
      </c>
      <c r="L35" s="77">
        <f t="shared" si="4"/>
        <v>2856.7755164862015</v>
      </c>
      <c r="M35" s="83">
        <f t="shared" si="5"/>
        <v>11.259777178887331</v>
      </c>
      <c r="O35" s="77"/>
      <c r="P35" s="77"/>
      <c r="Q35" s="77"/>
      <c r="R35" s="77"/>
      <c r="S35" s="77"/>
      <c r="T35" s="77"/>
      <c r="U35" s="83"/>
      <c r="V35" s="77"/>
      <c r="W35" s="84"/>
      <c r="X35" s="77"/>
      <c r="Z35" s="77"/>
    </row>
    <row r="36" spans="1:32">
      <c r="A36" s="82"/>
      <c r="B36" s="82"/>
      <c r="C36" s="15">
        <f t="shared" si="6"/>
        <v>19</v>
      </c>
      <c r="D36" s="15">
        <v>16</v>
      </c>
      <c r="E36" s="83">
        <v>1.912378838899109</v>
      </c>
      <c r="F36" s="17">
        <v>1.004520231361419</v>
      </c>
      <c r="G36" s="83">
        <v>6.0598121538638647</v>
      </c>
      <c r="H36" s="77">
        <f t="shared" si="0"/>
        <v>44.278553352354315</v>
      </c>
      <c r="I36" s="17">
        <f t="shared" si="1"/>
        <v>1.2994445144313658</v>
      </c>
      <c r="J36" s="83">
        <f t="shared" si="2"/>
        <v>63.139355890888538</v>
      </c>
      <c r="K36" s="83">
        <f t="shared" si="3"/>
        <v>1618.6835505201796</v>
      </c>
      <c r="L36" s="77">
        <f t="shared" si="4"/>
        <v>2822.6334486285</v>
      </c>
      <c r="M36" s="83">
        <f t="shared" si="5"/>
        <v>10.801605264356841</v>
      </c>
      <c r="O36" s="77"/>
      <c r="P36" s="77"/>
      <c r="Q36" s="77"/>
      <c r="R36" s="77"/>
      <c r="S36" s="77"/>
      <c r="T36" s="77"/>
      <c r="U36" s="83"/>
      <c r="V36" s="77"/>
      <c r="W36" s="84"/>
      <c r="X36" s="77"/>
      <c r="Z36" s="77"/>
    </row>
    <row r="37" spans="1:32" s="95" customFormat="1">
      <c r="A37" s="85"/>
      <c r="B37" s="82"/>
      <c r="C37" s="86">
        <v>18.399999999999999</v>
      </c>
      <c r="D37" s="86">
        <v>16</v>
      </c>
      <c r="E37" s="87">
        <v>1.9332132234790176</v>
      </c>
      <c r="F37" s="88">
        <v>0.99949893412208324</v>
      </c>
      <c r="G37" s="87">
        <v>6.1213997686005639</v>
      </c>
      <c r="H37" s="89">
        <f t="shared" si="0"/>
        <v>45.107575913967786</v>
      </c>
      <c r="I37" s="90">
        <f t="shared" si="1"/>
        <v>1.3109775514397068</v>
      </c>
      <c r="J37" s="91">
        <f t="shared" si="2"/>
        <v>62.497555205894983</v>
      </c>
      <c r="K37" s="91">
        <f t="shared" si="3"/>
        <v>1600.4501486501115</v>
      </c>
      <c r="L37" s="89">
        <f t="shared" si="4"/>
        <v>2800.5347346169278</v>
      </c>
      <c r="M37" s="91">
        <f t="shared" si="5"/>
        <v>10.522990370159473</v>
      </c>
      <c r="N37" s="82"/>
      <c r="O37" s="92"/>
      <c r="P37" s="92"/>
      <c r="Q37" s="92"/>
      <c r="R37" s="92"/>
      <c r="S37" s="92"/>
      <c r="T37" s="92"/>
      <c r="U37" s="93"/>
      <c r="V37" s="92"/>
      <c r="W37" s="94"/>
      <c r="X37" s="77"/>
      <c r="Y37"/>
      <c r="Z37" s="77"/>
      <c r="AA37"/>
      <c r="AB37"/>
      <c r="AC37"/>
      <c r="AD37"/>
      <c r="AE37"/>
      <c r="AF37"/>
    </row>
    <row r="38" spans="1:32">
      <c r="A38" s="82"/>
      <c r="B38" s="82"/>
      <c r="C38" s="15">
        <v>18</v>
      </c>
      <c r="D38" s="15">
        <v>16</v>
      </c>
      <c r="E38" s="83">
        <v>1.9474612992291609</v>
      </c>
      <c r="F38" s="17">
        <v>0.99560284661714471</v>
      </c>
      <c r="G38" s="83">
        <v>6.1625291903596411</v>
      </c>
      <c r="H38" s="77">
        <f t="shared" si="0"/>
        <v>45.695165064880726</v>
      </c>
      <c r="I38" s="17">
        <f t="shared" si="1"/>
        <v>1.3189245976100608</v>
      </c>
      <c r="J38" s="83">
        <f t="shared" si="2"/>
        <v>62.055059387799531</v>
      </c>
      <c r="K38" s="83">
        <f t="shared" si="3"/>
        <v>1587.8815271390044</v>
      </c>
      <c r="L38" s="77">
        <f t="shared" si="4"/>
        <v>2784.7564291364033</v>
      </c>
      <c r="M38" s="83">
        <f t="shared" si="5"/>
        <v>10.336832592559013</v>
      </c>
      <c r="O38" s="77"/>
      <c r="P38" s="77"/>
      <c r="Q38" s="77"/>
      <c r="R38" s="77"/>
      <c r="S38" s="77"/>
      <c r="T38" s="77"/>
      <c r="U38" s="83"/>
      <c r="V38" s="77"/>
      <c r="W38" s="84"/>
      <c r="X38" s="77"/>
      <c r="Z38" s="77"/>
    </row>
    <row r="39" spans="1:32">
      <c r="A39" s="82"/>
      <c r="B39" s="82"/>
      <c r="C39" s="15">
        <f t="shared" ref="C39:C47" si="7">C38-0.5</f>
        <v>17.5</v>
      </c>
      <c r="D39" s="15">
        <v>16</v>
      </c>
      <c r="E39" s="83">
        <v>1.9667763054696901</v>
      </c>
      <c r="F39" s="17">
        <v>0.99026645789888301</v>
      </c>
      <c r="G39" s="83">
        <v>6.2176723522104487</v>
      </c>
      <c r="H39" s="77">
        <f t="shared" si="0"/>
        <v>46.468056531043707</v>
      </c>
      <c r="I39" s="17">
        <f t="shared" si="1"/>
        <v>1.329101072957068</v>
      </c>
      <c r="J39" s="83">
        <f t="shared" si="2"/>
        <v>61.489159965387543</v>
      </c>
      <c r="K39" s="83">
        <f t="shared" si="3"/>
        <v>1572.7702202929299</v>
      </c>
      <c r="L39" s="77">
        <f t="shared" si="4"/>
        <v>2764.1761668605905</v>
      </c>
      <c r="M39" s="83">
        <f t="shared" si="5"/>
        <v>10.102203296069892</v>
      </c>
      <c r="O39" s="77"/>
      <c r="P39" s="77"/>
      <c r="Q39" s="77"/>
      <c r="R39" s="77"/>
      <c r="S39" s="77"/>
      <c r="T39" s="77"/>
      <c r="U39" s="83"/>
      <c r="V39" s="77"/>
      <c r="W39" s="84"/>
      <c r="X39" s="77"/>
      <c r="Z39" s="77"/>
    </row>
    <row r="40" spans="1:32">
      <c r="A40" s="82"/>
      <c r="B40" s="82"/>
      <c r="C40" s="15">
        <f t="shared" si="7"/>
        <v>17</v>
      </c>
      <c r="D40" s="15">
        <v>16</v>
      </c>
      <c r="E40" s="83">
        <v>1.9879396023444302</v>
      </c>
      <c r="F40" s="17">
        <v>0.98435913229507366</v>
      </c>
      <c r="G40" s="83">
        <v>6.2772999934619795</v>
      </c>
      <c r="H40" s="77">
        <f t="shared" si="0"/>
        <v>47.287714008802027</v>
      </c>
      <c r="I40" s="17">
        <f t="shared" si="1"/>
        <v>1.3395774128300479</v>
      </c>
      <c r="J40" s="83">
        <f t="shared" si="2"/>
        <v>60.908571759653462</v>
      </c>
      <c r="K40" s="83">
        <f t="shared" si="3"/>
        <v>1558.3795925365173</v>
      </c>
      <c r="L40" s="77">
        <f t="shared" si="4"/>
        <v>2742.5990264392713</v>
      </c>
      <c r="M40" s="83">
        <f t="shared" si="5"/>
        <v>9.86536918690752</v>
      </c>
      <c r="O40" s="77"/>
      <c r="P40" s="77"/>
      <c r="Q40" s="77"/>
      <c r="R40" s="77"/>
      <c r="S40" s="77"/>
      <c r="T40" s="77"/>
      <c r="U40" s="83"/>
      <c r="V40" s="77"/>
      <c r="W40" s="84"/>
      <c r="X40" s="77"/>
      <c r="Z40" s="77"/>
    </row>
    <row r="41" spans="1:32">
      <c r="A41" s="82"/>
      <c r="B41" s="82"/>
      <c r="C41" s="15">
        <f t="shared" si="7"/>
        <v>16.5</v>
      </c>
      <c r="D41" s="15">
        <v>16</v>
      </c>
      <c r="E41" s="83">
        <v>2.011156031886022</v>
      </c>
      <c r="F41" s="17">
        <v>0.97781900097567587</v>
      </c>
      <c r="G41" s="83">
        <v>6.3417729930530902</v>
      </c>
      <c r="H41" s="77">
        <f t="shared" si="0"/>
        <v>48.159099715417284</v>
      </c>
      <c r="I41" s="17">
        <f t="shared" si="1"/>
        <v>1.3503897739204196</v>
      </c>
      <c r="J41" s="83">
        <f t="shared" si="2"/>
        <v>60.312744151668753</v>
      </c>
      <c r="K41" s="83">
        <f t="shared" si="3"/>
        <v>1544.7627898053486</v>
      </c>
      <c r="L41" s="77">
        <f t="shared" si="4"/>
        <v>2719.9703463756305</v>
      </c>
      <c r="M41" s="83">
        <f t="shared" si="5"/>
        <v>9.6262741866023838</v>
      </c>
      <c r="O41" s="77"/>
      <c r="P41" s="77"/>
      <c r="Q41" s="77"/>
      <c r="R41" s="77"/>
      <c r="S41" s="77"/>
      <c r="T41" s="77"/>
      <c r="U41" s="83"/>
      <c r="V41" s="77"/>
      <c r="W41" s="84"/>
      <c r="X41" s="77"/>
      <c r="Z41" s="77"/>
    </row>
    <row r="42" spans="1:32">
      <c r="A42" s="82"/>
      <c r="B42" s="82"/>
      <c r="C42" s="15">
        <f t="shared" si="7"/>
        <v>16</v>
      </c>
      <c r="D42" s="15">
        <v>16</v>
      </c>
      <c r="E42" s="83">
        <v>2.0366444161340485</v>
      </c>
      <c r="F42" s="17">
        <v>0.97057882132745943</v>
      </c>
      <c r="G42" s="83">
        <v>6.4114266147670804</v>
      </c>
      <c r="H42" s="77">
        <f t="shared" si="0"/>
        <v>49.087868134553275</v>
      </c>
      <c r="I42" s="17">
        <f t="shared" si="1"/>
        <v>1.3615766162614356</v>
      </c>
      <c r="J42" s="83">
        <f t="shared" si="2"/>
        <v>59.701234042305096</v>
      </c>
      <c r="K42" s="83">
        <f t="shared" si="3"/>
        <v>1531.964289937966</v>
      </c>
      <c r="L42" s="77">
        <f t="shared" si="4"/>
        <v>2696.2222233622688</v>
      </c>
      <c r="M42" s="83">
        <f t="shared" si="5"/>
        <v>9.3848567719162261</v>
      </c>
      <c r="O42" s="77"/>
      <c r="P42" s="77"/>
      <c r="Q42" s="77"/>
      <c r="R42" s="77"/>
      <c r="S42" s="77"/>
      <c r="T42" s="77"/>
      <c r="U42" s="83"/>
      <c r="V42" s="77"/>
      <c r="W42" s="84"/>
      <c r="X42" s="77"/>
      <c r="Z42" s="77"/>
    </row>
    <row r="43" spans="1:32">
      <c r="A43" s="82"/>
      <c r="B43" s="82"/>
      <c r="C43" s="15">
        <f t="shared" si="7"/>
        <v>15.5</v>
      </c>
      <c r="D43" s="15">
        <v>16</v>
      </c>
      <c r="E43" s="83">
        <v>2.0646310137869111</v>
      </c>
      <c r="F43" s="17">
        <v>0.96256659674201395</v>
      </c>
      <c r="G43" s="83">
        <v>6.4865308350572928</v>
      </c>
      <c r="H43" s="77">
        <f t="shared" si="0"/>
        <v>50.080461863861814</v>
      </c>
      <c r="I43" s="17">
        <f t="shared" si="1"/>
        <v>1.3731755455543553</v>
      </c>
      <c r="J43" s="83">
        <f t="shared" si="2"/>
        <v>59.07392596623238</v>
      </c>
      <c r="K43" s="83">
        <f t="shared" si="3"/>
        <v>1520.015238848936</v>
      </c>
      <c r="L43" s="77">
        <f t="shared" si="4"/>
        <v>2671.2651486917889</v>
      </c>
      <c r="M43" s="83">
        <f t="shared" si="5"/>
        <v>9.1410327791865402</v>
      </c>
      <c r="O43" s="77"/>
      <c r="P43" s="77"/>
      <c r="Q43" s="77"/>
      <c r="R43" s="77"/>
      <c r="S43" s="77"/>
      <c r="T43" s="77"/>
      <c r="U43" s="83"/>
      <c r="V43" s="77"/>
      <c r="W43" s="84"/>
      <c r="X43" s="77"/>
      <c r="Z43" s="77"/>
    </row>
    <row r="44" spans="1:32">
      <c r="A44" s="82"/>
      <c r="B44" s="82"/>
      <c r="C44" s="15">
        <f t="shared" si="7"/>
        <v>15</v>
      </c>
      <c r="D44" s="15">
        <v>16</v>
      </c>
      <c r="E44" s="83">
        <v>2.0953372855018357</v>
      </c>
      <c r="F44" s="17">
        <v>0.95370696175481684</v>
      </c>
      <c r="G44" s="83">
        <v>6.5672277114418565</v>
      </c>
      <c r="H44" s="77">
        <f t="shared" si="0"/>
        <v>51.144208497459566</v>
      </c>
      <c r="I44" s="17">
        <f t="shared" si="1"/>
        <v>1.3852178973381395</v>
      </c>
      <c r="J44" s="83">
        <f t="shared" si="2"/>
        <v>58.431362209828777</v>
      </c>
      <c r="K44" s="83">
        <f t="shared" si="3"/>
        <v>1508.9264035361568</v>
      </c>
      <c r="L44" s="77">
        <f t="shared" si="4"/>
        <v>2644.9760802522724</v>
      </c>
      <c r="M44" s="83">
        <f t="shared" si="5"/>
        <v>8.8946723257355433</v>
      </c>
      <c r="O44" s="77"/>
      <c r="P44" s="77"/>
      <c r="Q44" s="77"/>
      <c r="R44" s="77"/>
      <c r="S44" s="77"/>
      <c r="T44" s="77"/>
      <c r="U44" s="83"/>
      <c r="V44" s="77"/>
      <c r="W44" s="84"/>
      <c r="X44" s="77"/>
      <c r="Z44" s="77"/>
    </row>
    <row r="45" spans="1:32">
      <c r="A45" s="82"/>
      <c r="B45" s="82"/>
      <c r="C45" s="15">
        <f t="shared" si="7"/>
        <v>14.5</v>
      </c>
      <c r="D45" s="15">
        <v>16</v>
      </c>
      <c r="E45" s="83">
        <v>2.1289586744152573</v>
      </c>
      <c r="F45" s="17">
        <v>0.94392376163020952</v>
      </c>
      <c r="G45" s="83">
        <v>6.6534348200389939</v>
      </c>
      <c r="H45" s="77">
        <f t="shared" si="0"/>
        <v>52.287407262775204</v>
      </c>
      <c r="I45" s="17">
        <f t="shared" si="1"/>
        <v>1.397719901057012</v>
      </c>
      <c r="J45" s="83">
        <f t="shared" si="2"/>
        <v>57.775217507744898</v>
      </c>
      <c r="K45" s="83">
        <f t="shared" si="3"/>
        <v>1498.6774274142826</v>
      </c>
      <c r="L45" s="77">
        <f t="shared" si="4"/>
        <v>2617.181725601271</v>
      </c>
      <c r="M45" s="83">
        <f t="shared" si="5"/>
        <v>8.6455701178735982</v>
      </c>
      <c r="O45" s="77"/>
      <c r="P45" s="77"/>
      <c r="Q45" s="77"/>
      <c r="R45" s="77"/>
      <c r="S45" s="77"/>
      <c r="T45" s="77"/>
      <c r="U45" s="83"/>
      <c r="V45" s="77"/>
      <c r="W45" s="84"/>
      <c r="X45" s="77"/>
      <c r="Z45" s="77"/>
    </row>
    <row r="46" spans="1:32">
      <c r="A46" s="82"/>
      <c r="B46" s="82"/>
      <c r="C46" s="15">
        <f t="shared" si="7"/>
        <v>14</v>
      </c>
      <c r="D46" s="15">
        <v>16</v>
      </c>
      <c r="E46" s="83">
        <v>2.1656293329522676</v>
      </c>
      <c r="F46" s="17">
        <v>0.93314445483165553</v>
      </c>
      <c r="G46" s="83">
        <v>6.7446991076008116</v>
      </c>
      <c r="H46" s="77">
        <f t="shared" si="0"/>
        <v>53.519384502324087</v>
      </c>
      <c r="I46" s="17">
        <f t="shared" si="1"/>
        <v>1.4106687506944655</v>
      </c>
      <c r="J46" s="83">
        <f t="shared" si="2"/>
        <v>57.10895711188202</v>
      </c>
      <c r="K46" s="83">
        <f t="shared" si="3"/>
        <v>1489.2002772354408</v>
      </c>
      <c r="L46" s="77">
        <f t="shared" si="4"/>
        <v>2587.6355155306005</v>
      </c>
      <c r="M46" s="83">
        <f t="shared" si="5"/>
        <v>8.3934090056518826</v>
      </c>
      <c r="O46" s="77"/>
      <c r="P46" s="77"/>
      <c r="Q46" s="77"/>
      <c r="R46" s="77"/>
      <c r="S46" s="77"/>
      <c r="T46" s="77"/>
      <c r="U46" s="83"/>
      <c r="V46" s="77"/>
      <c r="W46" s="84"/>
      <c r="X46" s="77"/>
      <c r="Z46" s="77"/>
    </row>
    <row r="47" spans="1:32">
      <c r="A47" s="82"/>
      <c r="B47" s="82"/>
      <c r="C47" s="15">
        <f t="shared" si="7"/>
        <v>13.5</v>
      </c>
      <c r="D47" s="15">
        <v>16</v>
      </c>
      <c r="E47" s="83">
        <v>2.2053645758739551</v>
      </c>
      <c r="F47" s="17">
        <v>0.92130718094957742</v>
      </c>
      <c r="G47" s="83">
        <v>6.8399781162707569</v>
      </c>
      <c r="H47" s="77">
        <f t="shared" si="0"/>
        <v>54.850482910226795</v>
      </c>
      <c r="I47" s="17">
        <f t="shared" si="1"/>
        <v>1.4240013345111826</v>
      </c>
      <c r="J47" s="83">
        <f t="shared" si="2"/>
        <v>56.438713066962123</v>
      </c>
      <c r="K47" s="83">
        <f t="shared" si="3"/>
        <v>1480.3531188011339</v>
      </c>
      <c r="L47" s="77">
        <f t="shared" si="4"/>
        <v>2555.9865085873257</v>
      </c>
      <c r="M47" s="83">
        <f t="shared" si="5"/>
        <v>8.1377184645236689</v>
      </c>
      <c r="O47" s="77"/>
      <c r="P47" s="77"/>
      <c r="Q47" s="77"/>
      <c r="R47" s="77"/>
      <c r="S47" s="77"/>
      <c r="T47" s="77"/>
      <c r="U47" s="83"/>
      <c r="V47" s="77"/>
      <c r="W47" s="84"/>
      <c r="X47" s="77"/>
      <c r="Z47" s="77"/>
    </row>
  </sheetData>
  <phoneticPr fontId="10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I62"/>
  <sheetViews>
    <sheetView workbookViewId="0">
      <pane ySplit="16" topLeftCell="A17" activePane="bottomLeft" state="frozen"/>
      <selection activeCell="C23" sqref="C23"/>
      <selection pane="bottomLeft" activeCell="D24" sqref="D24"/>
    </sheetView>
  </sheetViews>
  <sheetFormatPr defaultRowHeight="12.75"/>
  <cols>
    <col min="3" max="4" width="15.7109375" customWidth="1"/>
    <col min="5" max="5" width="12.7109375" customWidth="1"/>
    <col min="6" max="6" width="4.85546875" customWidth="1"/>
    <col min="7" max="7" width="5" customWidth="1"/>
    <col min="9" max="9" width="11.42578125" customWidth="1"/>
  </cols>
  <sheetData>
    <row r="1" spans="1:7" ht="15.75">
      <c r="A1" s="215" t="s">
        <v>90</v>
      </c>
      <c r="B1" s="215"/>
      <c r="C1" s="215"/>
      <c r="D1" s="215"/>
      <c r="E1" s="215"/>
      <c r="F1" s="215"/>
      <c r="G1" s="215"/>
    </row>
    <row r="2" spans="1:7">
      <c r="A2" s="216" t="s">
        <v>91</v>
      </c>
      <c r="B2" s="216"/>
      <c r="C2" s="216"/>
      <c r="D2" s="216"/>
      <c r="E2" s="216"/>
      <c r="F2" s="216"/>
      <c r="G2" s="216"/>
    </row>
    <row r="3" spans="1:7">
      <c r="A3" s="217" t="s">
        <v>92</v>
      </c>
      <c r="B3" s="217"/>
      <c r="C3" s="217"/>
      <c r="D3" s="217"/>
      <c r="E3" s="217"/>
      <c r="F3" s="217"/>
      <c r="G3" s="217"/>
    </row>
    <row r="5" spans="1:7">
      <c r="C5" s="216" t="s">
        <v>93</v>
      </c>
      <c r="D5" s="216"/>
    </row>
    <row r="6" spans="1:7">
      <c r="C6" s="19" t="s">
        <v>94</v>
      </c>
      <c r="D6" s="19" t="s">
        <v>95</v>
      </c>
      <c r="E6" s="19" t="s">
        <v>96</v>
      </c>
    </row>
    <row r="7" spans="1:7">
      <c r="B7" s="20" t="s">
        <v>97</v>
      </c>
      <c r="C7" s="21">
        <v>1</v>
      </c>
      <c r="D7" s="21">
        <v>2</v>
      </c>
      <c r="E7" s="22" t="str">
        <f>[7]!heProperty(Input2)</f>
        <v xml:space="preserve"> Temperature </v>
      </c>
    </row>
    <row r="8" spans="1:7">
      <c r="B8" s="20" t="s">
        <v>85</v>
      </c>
      <c r="C8" s="23" t="str">
        <f>[7]!heProperty(Input1)</f>
        <v xml:space="preserve"> Pressure </v>
      </c>
      <c r="D8" s="23" t="str">
        <f>[7]!heProperty(Input2)</f>
        <v xml:space="preserve"> Temperature </v>
      </c>
    </row>
    <row r="9" spans="1:7">
      <c r="B9" s="20" t="s">
        <v>98</v>
      </c>
      <c r="C9" s="166">
        <f>1.2*10^5</f>
        <v>120000</v>
      </c>
      <c r="D9" s="166">
        <v>4.3</v>
      </c>
      <c r="E9" s="24" t="s">
        <v>99</v>
      </c>
      <c r="F9" s="21">
        <v>1</v>
      </c>
    </row>
    <row r="10" spans="1:7">
      <c r="B10" s="25" t="s">
        <v>100</v>
      </c>
      <c r="C10" s="26" t="str">
        <f>[7]!heunit(Input1,Units)</f>
        <v xml:space="preserve"> [Pa] </v>
      </c>
      <c r="D10" s="26" t="str">
        <f>[7]!heunit(Input2,Units)</f>
        <v xml:space="preserve"> [K] </v>
      </c>
      <c r="E10" s="24"/>
      <c r="F10" s="16"/>
    </row>
    <row r="11" spans="1:7">
      <c r="A11" s="14"/>
      <c r="B11" s="27"/>
      <c r="C11" s="28"/>
      <c r="D11" s="28"/>
      <c r="E11" s="29"/>
      <c r="F11" s="16"/>
    </row>
    <row r="12" spans="1:7" ht="13.5">
      <c r="B12" s="30">
        <v>2</v>
      </c>
      <c r="C12" s="31" t="s">
        <v>101</v>
      </c>
      <c r="D12" s="32"/>
      <c r="E12" s="33"/>
      <c r="F12" s="16"/>
    </row>
    <row r="13" spans="1:7">
      <c r="B13" s="34">
        <v>3</v>
      </c>
      <c r="C13" s="35"/>
      <c r="D13" s="36"/>
      <c r="E13" s="37"/>
      <c r="F13" s="16"/>
    </row>
    <row r="14" spans="1:7" ht="13.5" thickBot="1">
      <c r="D14" s="15"/>
    </row>
    <row r="15" spans="1:7" s="18" customFormat="1">
      <c r="B15" s="38" t="s">
        <v>102</v>
      </c>
      <c r="C15" s="39" t="s">
        <v>102</v>
      </c>
      <c r="D15" s="39"/>
      <c r="E15" s="40" t="s">
        <v>102</v>
      </c>
    </row>
    <row r="16" spans="1:7" s="18" customFormat="1" ht="13.5" thickBot="1">
      <c r="B16" s="41" t="s">
        <v>97</v>
      </c>
      <c r="C16" s="42" t="s">
        <v>85</v>
      </c>
      <c r="D16" s="43" t="s">
        <v>98</v>
      </c>
      <c r="E16" s="44" t="s">
        <v>100</v>
      </c>
    </row>
    <row r="17" spans="2:9" s="18" customFormat="1" ht="13.5">
      <c r="B17" s="45">
        <v>0</v>
      </c>
      <c r="C17" s="14" t="str">
        <f>[7]!heProperty(B17)</f>
        <v xml:space="preserve"> Quality </v>
      </c>
      <c r="D17" s="46">
        <f>[7]!HeCalc(B17,0,Input1,Value1,Input2,Value2,Units)</f>
        <v>-1</v>
      </c>
      <c r="E17" s="47" t="str">
        <f>[7]!heunit(B17,Units)</f>
        <v xml:space="preserve"> [-] </v>
      </c>
      <c r="H17" s="56">
        <f>D17</f>
        <v>-1</v>
      </c>
    </row>
    <row r="18" spans="2:9" ht="13.5">
      <c r="B18" s="48">
        <v>1</v>
      </c>
      <c r="C18" s="14" t="str">
        <f>[7]!heProperty(B18)</f>
        <v xml:space="preserve"> Pressure </v>
      </c>
      <c r="D18" s="46">
        <f>[7]!HeCalc(B18,0,Input1,Value1,Input2,Value2,Units)</f>
        <v>120000.00000086553</v>
      </c>
      <c r="E18" s="47" t="str">
        <f>[7]!heunit(B18,Units)</f>
        <v xml:space="preserve"> [Pa] </v>
      </c>
    </row>
    <row r="19" spans="2:9" ht="13.5">
      <c r="B19" s="48">
        <v>2</v>
      </c>
      <c r="C19" s="14" t="str">
        <f>[7]!heProperty(B19)</f>
        <v xml:space="preserve"> Temperature </v>
      </c>
      <c r="D19" s="46">
        <f>[7]!HeCalc(B19,0,Input1,Value1,Input2,Value2,Units)</f>
        <v>4.3</v>
      </c>
      <c r="E19" s="47" t="str">
        <f>[7]!heunit(B19,Units)</f>
        <v xml:space="preserve"> [K] </v>
      </c>
    </row>
    <row r="20" spans="2:9" ht="13.5">
      <c r="B20" s="48">
        <v>3</v>
      </c>
      <c r="C20" s="14" t="str">
        <f>[7]!heProperty(B20)</f>
        <v xml:space="preserve"> Density </v>
      </c>
      <c r="D20" s="46">
        <f>[7]!HeCalc(B20,0,Input1,Value1,Input2,Value2,Units)</f>
        <v>124.16830334961141</v>
      </c>
      <c r="E20" s="47" t="str">
        <f>[7]!heunit(B20,Units)</f>
        <v xml:space="preserve"> [kg/m3] </v>
      </c>
    </row>
    <row r="21" spans="2:9" ht="13.5">
      <c r="B21" s="48">
        <v>4</v>
      </c>
      <c r="C21" s="14" t="str">
        <f>[7]!heProperty(B21)</f>
        <v xml:space="preserve"> Specific Volume </v>
      </c>
      <c r="D21" s="46">
        <f>[7]!HeCalc(B21,0,Input1,Value1,Input2,Value2,Units)</f>
        <v>8.0535851181309515E-3</v>
      </c>
      <c r="E21" s="47" t="str">
        <f>[7]!heunit(B21,Units)</f>
        <v xml:space="preserve"> [m3/kg] </v>
      </c>
    </row>
    <row r="22" spans="2:9" ht="13.5">
      <c r="B22" s="48">
        <v>5</v>
      </c>
      <c r="C22" s="14" t="str">
        <f>[7]!heProperty(B22)</f>
        <v xml:space="preserve"> Z = PV/RT </v>
      </c>
      <c r="D22" s="46">
        <f>[7]!HeCalc(B22,0,Input1,Value1,Input2,Value2,Units)</f>
        <v>0.10819730967751783</v>
      </c>
      <c r="E22" s="47" t="str">
        <f>[7]!heunit(B22,Units)</f>
        <v xml:space="preserve"> [-] </v>
      </c>
    </row>
    <row r="23" spans="2:9" ht="13.5">
      <c r="B23" s="48">
        <v>6</v>
      </c>
      <c r="C23" s="14" t="str">
        <f>[7]!heProperty(B23)</f>
        <v xml:space="preserve"> DPTSat </v>
      </c>
      <c r="D23" s="46">
        <f>[7]!HeCalc(B23,0,Input1,Value1,Input2,Value2,Units)</f>
        <v>0</v>
      </c>
      <c r="E23" s="47" t="str">
        <f>[7]!heunit(B23,Units)</f>
        <v xml:space="preserve"> [Pa/K] </v>
      </c>
    </row>
    <row r="24" spans="2:9" ht="13.5">
      <c r="B24" s="142">
        <v>7</v>
      </c>
      <c r="C24" s="143" t="str">
        <f>[7]!heProperty(B24)</f>
        <v xml:space="preserve"> Latent Heat </v>
      </c>
      <c r="D24" s="144">
        <f>[7]!HeCalc(B24,0,Input1,Value1,Input2,Value2,Units)</f>
        <v>0</v>
      </c>
      <c r="E24" s="145" t="str">
        <f>[7]!heunit(B24,Units)</f>
        <v xml:space="preserve"> [J/kg] </v>
      </c>
      <c r="F24" s="49"/>
      <c r="G24" s="49"/>
    </row>
    <row r="25" spans="2:9" ht="13.5">
      <c r="B25" s="48">
        <v>8</v>
      </c>
      <c r="C25" s="14" t="str">
        <f>[7]!heProperty(B25)</f>
        <v xml:space="preserve"> Entropy </v>
      </c>
      <c r="D25" s="46">
        <f>[7]!HeCalc(B25,0,Input1,Value1,Input2,Value2,Units)</f>
        <v>3641.112501293926</v>
      </c>
      <c r="E25" s="47" t="str">
        <f>[7]!heunit(B25,Units)</f>
        <v xml:space="preserve"> [J/kg-K] </v>
      </c>
      <c r="F25" s="49"/>
    </row>
    <row r="26" spans="2:9" ht="13.5">
      <c r="B26" s="48">
        <v>9</v>
      </c>
      <c r="C26" s="14" t="str">
        <f>[7]!heProperty(B26)</f>
        <v xml:space="preserve"> Enthalpy </v>
      </c>
      <c r="D26" s="46">
        <f>[7]!HeCalc(B26,0,Input1,Value1,Input2,Value2,Units)</f>
        <v>10450.765595043842</v>
      </c>
      <c r="E26" s="47" t="str">
        <f>[7]!heunit(B26,Units)</f>
        <v xml:space="preserve"> [J/kg] </v>
      </c>
      <c r="F26" s="49"/>
      <c r="H26" s="46"/>
      <c r="I26">
        <v>9407.9237518543996</v>
      </c>
    </row>
    <row r="27" spans="2:9" ht="13.5">
      <c r="B27" s="48">
        <v>10</v>
      </c>
      <c r="C27" s="14" t="str">
        <f>[7]!heProperty(B27)</f>
        <v xml:space="preserve"> Helmholtz </v>
      </c>
      <c r="D27" s="46">
        <f>[7]!HeCalc(B27,0,Input1,Value1,Input2,Value2,Units)</f>
        <v>-6172.4483747027243</v>
      </c>
      <c r="E27" s="47" t="str">
        <f>[7]!heunit(B27,Units)</f>
        <v xml:space="preserve"> [J/kg] </v>
      </c>
      <c r="F27" s="49"/>
    </row>
    <row r="28" spans="2:9" ht="13.5">
      <c r="B28" s="48">
        <v>11</v>
      </c>
      <c r="C28" s="14" t="str">
        <f>[7]!heProperty(B28)</f>
        <v xml:space="preserve"> Internal Energy </v>
      </c>
      <c r="D28" s="46">
        <f>[7]!HeCalc(B28,0,Input1,Value1,Input2,Value2,Units)</f>
        <v>9484.3353808611573</v>
      </c>
      <c r="E28" s="47" t="str">
        <f>[7]!heunit(B28,Units)</f>
        <v xml:space="preserve"> [J/kg] </v>
      </c>
      <c r="F28" s="49"/>
    </row>
    <row r="29" spans="2:9" ht="13.5">
      <c r="B29" s="48">
        <v>12</v>
      </c>
      <c r="C29" s="14" t="str">
        <f>[7]!heProperty(B29)</f>
        <v xml:space="preserve"> Gibbs Energy </v>
      </c>
      <c r="D29" s="46">
        <f>[7]!HeCalc(B29,0,Input1,Value1,Input2,Value2,Units)</f>
        <v>-5206.0181605200396</v>
      </c>
      <c r="E29" s="47" t="str">
        <f>[7]!heunit(B29,Units)</f>
        <v xml:space="preserve"> [J/kg] </v>
      </c>
      <c r="F29" s="49"/>
    </row>
    <row r="30" spans="2:9" ht="13.5">
      <c r="B30" s="48">
        <v>13</v>
      </c>
      <c r="C30" s="14" t="str">
        <f>[7]!heProperty(B30)</f>
        <v xml:space="preserve"> Res. for Fugacity </v>
      </c>
      <c r="D30" s="46">
        <f>[7]!HeCalc(B30,0,Input1,Value1,Input2,Value2,Units)</f>
        <v>0</v>
      </c>
      <c r="E30" s="47"/>
      <c r="F30" s="49"/>
    </row>
    <row r="31" spans="2:9" ht="13.5">
      <c r="B31" s="48">
        <v>14</v>
      </c>
      <c r="C31" s="14" t="str">
        <f>[7]!heProperty(B31)</f>
        <v xml:space="preserve"> Cp </v>
      </c>
      <c r="D31" s="46">
        <f>[7]!HeCalc(B31,0,Input1,Value1,Input2,Value2,Units)</f>
        <v>5425.1470628853058</v>
      </c>
      <c r="E31" s="47" t="str">
        <f>[7]!heunit(B31,Units)</f>
        <v xml:space="preserve"> [J/kg-K] </v>
      </c>
      <c r="F31" s="49"/>
    </row>
    <row r="32" spans="2:9" ht="13.5">
      <c r="B32" s="48">
        <v>15</v>
      </c>
      <c r="C32" s="14" t="str">
        <f>[7]!heProperty(B32)</f>
        <v xml:space="preserve"> Cv </v>
      </c>
      <c r="D32" s="46">
        <f>[7]!HeCalc(B32,0,Input1,Value1,Input2,Value2,Units)</f>
        <v>2559.6906616530869</v>
      </c>
      <c r="E32" s="47" t="str">
        <f>[7]!heunit(B32,Units)</f>
        <v xml:space="preserve"> [J/kg-K] </v>
      </c>
      <c r="F32" s="49"/>
    </row>
    <row r="33" spans="2:9" ht="13.5">
      <c r="B33" s="48">
        <v>16</v>
      </c>
      <c r="C33" s="14" t="str">
        <f>[7]!heProperty(B33)</f>
        <v xml:space="preserve"> Gamma </v>
      </c>
      <c r="D33" s="46">
        <f>[7]!HeCalc(B33,0,Input1,Value1,Input2,Value2,Units)</f>
        <v>2.1194541763033445</v>
      </c>
      <c r="E33" s="47" t="str">
        <f>[7]!heunit(B33,Units)</f>
        <v xml:space="preserve"> [-] </v>
      </c>
      <c r="F33" s="49"/>
    </row>
    <row r="34" spans="2:9" ht="13.5">
      <c r="B34" s="48">
        <v>17</v>
      </c>
      <c r="C34" s="14" t="str">
        <f>[7]!heProperty(B34)</f>
        <v xml:space="preserve"> Expansivity </v>
      </c>
      <c r="D34" s="46">
        <f>[7]!HeCalc(B34,0,Input1,Value1,Input2,Value2,Units)</f>
        <v>0.91537940368096737</v>
      </c>
      <c r="E34" s="47" t="str">
        <f>[7]!heunit(B34,Units)</f>
        <v xml:space="preserve"> [TdV/VdT] </v>
      </c>
      <c r="F34" s="49"/>
    </row>
    <row r="35" spans="2:9" ht="13.5">
      <c r="B35" s="48">
        <v>18</v>
      </c>
      <c r="C35" s="14" t="str">
        <f>[7]!heProperty(B35)</f>
        <v xml:space="preserve"> Gruneisen </v>
      </c>
      <c r="D35" s="46">
        <f>[7]!HeCalc(B35,0,Input1,Value1,Input2,Value2,Units)</f>
        <v>1.2229400965345538</v>
      </c>
      <c r="E35" s="47" t="str">
        <f>[7]!heunit(B35,Units)</f>
        <v xml:space="preserve"> [-] </v>
      </c>
      <c r="F35" s="49"/>
    </row>
    <row r="36" spans="2:9" ht="13.5">
      <c r="B36" s="48">
        <v>19</v>
      </c>
      <c r="C36" s="14" t="str">
        <f>[7]!heProperty(B36)</f>
        <v xml:space="preserve"> Compressibility </v>
      </c>
      <c r="D36" s="46">
        <f>[7]!HeCalc(B36,0,Input1,Value1,Input2,Value2,Units)</f>
        <v>5.4768300601225417E-7</v>
      </c>
      <c r="E36" s="47" t="str">
        <f>[7]!heunit(B36,Units)</f>
        <v xml:space="preserve"> [1/Pa] </v>
      </c>
      <c r="F36" s="49"/>
      <c r="I36">
        <f>[7]!HeCalc(19,0,1,Value1,2,Value2,1)</f>
        <v>5.4768300601225417E-7</v>
      </c>
    </row>
    <row r="37" spans="2:9" ht="13.5">
      <c r="B37" s="48">
        <v>20</v>
      </c>
      <c r="C37" s="14" t="str">
        <f>[7]!heProperty(B37)</f>
        <v xml:space="preserve"> Sound Velocity </v>
      </c>
      <c r="D37" s="46">
        <f>[7]!HeCalc(B37,0,Input1,Value1,Input2,Value2,Units)</f>
        <v>176.53954766001985</v>
      </c>
      <c r="E37" s="47" t="str">
        <f>[7]!heunit(B37,Units)</f>
        <v xml:space="preserve"> [m/s] </v>
      </c>
      <c r="F37" s="49"/>
      <c r="I37" t="e">
        <f>[7]!HeCalc(20,0,1,P,2,T,1)</f>
        <v>#VALUE!</v>
      </c>
    </row>
    <row r="38" spans="2:9" ht="13.5">
      <c r="B38" s="48">
        <v>21</v>
      </c>
      <c r="C38" s="14" t="str">
        <f>[7]!heProperty(B38)</f>
        <v xml:space="preserve"> JT Coefficient </v>
      </c>
      <c r="D38" s="46">
        <f>[7]!HeCalc(B38,0,Input1,Value1,Input2,Value2,Units)</f>
        <v>-1.2561856246526891E-7</v>
      </c>
      <c r="E38" s="47" t="str">
        <f>[7]!heunit(B38,Units)</f>
        <v xml:space="preserve"> [K/Pa] </v>
      </c>
      <c r="F38" s="49"/>
    </row>
    <row r="39" spans="2:9" ht="13.5">
      <c r="B39" s="48">
        <v>22</v>
      </c>
      <c r="C39" s="14" t="str">
        <f>[7]!heProperty(B39)</f>
        <v xml:space="preserve"> dPdD|T </v>
      </c>
      <c r="D39" s="46">
        <f>[7]!HeCalc(B39,0,Input1,Value1,Input2,Value2,Units)</f>
        <v>14704.82930768671</v>
      </c>
      <c r="E39" s="47" t="str">
        <f>[7]!heunit(B39,Units)</f>
        <v xml:space="preserve"> [Pa-m3/kg] </v>
      </c>
      <c r="F39" s="49"/>
    </row>
    <row r="40" spans="2:9" ht="13.5">
      <c r="B40" s="48">
        <v>23</v>
      </c>
      <c r="C40" s="14" t="str">
        <f>[7]!heProperty(B40)</f>
        <v xml:space="preserve"> dPdT|D </v>
      </c>
      <c r="D40" s="46">
        <f>[7]!HeCalc(B40,0,Input1,Value1,Input2,Value2,Units)</f>
        <v>388690.04287460766</v>
      </c>
      <c r="E40" s="47" t="str">
        <f>[7]!heunit(B40,Units)</f>
        <v xml:space="preserve"> [Pa/K] </v>
      </c>
      <c r="F40" s="49"/>
    </row>
    <row r="41" spans="2:9" ht="13.5">
      <c r="B41" s="48">
        <v>24</v>
      </c>
      <c r="C41" s="14" t="str">
        <f>[7]!heProperty(B41)</f>
        <v xml:space="preserve"> V*dHdV|P </v>
      </c>
      <c r="D41" s="46">
        <f>[7]!HeCalc(B41,0,Input1,Value1,Input2,Value2,Units)</f>
        <v>25484.65945005821</v>
      </c>
      <c r="E41" s="47" t="str">
        <f>[7]!heunit(B41,Units)</f>
        <v xml:space="preserve"> [J/kg] </v>
      </c>
      <c r="F41" s="49"/>
    </row>
    <row r="42" spans="2:9" ht="13.5">
      <c r="B42" s="48">
        <v>25</v>
      </c>
      <c r="C42" s="14" t="str">
        <f>[7]!heProperty(B42)</f>
        <v xml:space="preserve"> Viscosity </v>
      </c>
      <c r="D42" s="46">
        <f>[7]!HeCalc(B42,0,Input1,Value1,Input2,Value2,Units)</f>
        <v>3.1583291741916663E-6</v>
      </c>
      <c r="E42" s="47" t="str">
        <f>[7]!heunit(B42,Units)</f>
        <v xml:space="preserve"> [Pa-s] </v>
      </c>
      <c r="F42" s="49"/>
    </row>
    <row r="43" spans="2:9" ht="13.5">
      <c r="B43" s="48">
        <v>26</v>
      </c>
      <c r="C43" s="14" t="str">
        <f>[7]!heProperty(B43)</f>
        <v xml:space="preserve"> Conductivity </v>
      </c>
      <c r="D43" s="46">
        <f>[7]!HeCalc(B43,0,Input1,Value1,Input2,Value2,Units)</f>
        <v>1.8812871540279791E-2</v>
      </c>
      <c r="E43" s="47" t="str">
        <f>[7]!heunit(B43,Units)</f>
        <v xml:space="preserve"> [W/m-K] </v>
      </c>
      <c r="F43" s="49"/>
      <c r="I43">
        <f>lambda_(11,1,300)</f>
        <v>0.15597330279314289</v>
      </c>
    </row>
    <row r="44" spans="2:9" ht="13.5">
      <c r="B44" s="48">
        <v>27</v>
      </c>
      <c r="C44" s="14" t="str">
        <f>[7]!heProperty(B44)</f>
        <v xml:space="preserve"> Prandtl # </v>
      </c>
      <c r="D44" s="46">
        <f>[7]!HeCalc(B44,0,Input1,Value1,Input2,Value2,Units)</f>
        <v>0.91078069641334847</v>
      </c>
      <c r="E44" s="47" t="str">
        <f>[7]!heunit(B44,Units)</f>
        <v xml:space="preserve"> [-] </v>
      </c>
      <c r="F44" s="49"/>
    </row>
    <row r="45" spans="2:9" ht="13.5">
      <c r="B45" s="48">
        <v>28</v>
      </c>
      <c r="C45" s="14" t="str">
        <f>[7]!heProperty(B45)</f>
        <v xml:space="preserve"> Thermal Diff </v>
      </c>
      <c r="D45" s="46">
        <f>[7]!HeCalc(B45,0,Input1,Value1,Input2,Value2,Units)</f>
        <v>2.7927549338271232E-8</v>
      </c>
      <c r="E45" s="47" t="str">
        <f>[7]!heunit(B45,Units)</f>
        <v xml:space="preserve"> [m2/s] </v>
      </c>
      <c r="F45" s="49"/>
    </row>
    <row r="46" spans="2:9" ht="13.5">
      <c r="B46" s="48">
        <v>29</v>
      </c>
      <c r="C46" s="14" t="str">
        <f>[7]!heProperty(B46)</f>
        <v xml:space="preserve"> Surface Tension </v>
      </c>
      <c r="D46" s="46">
        <f>[7]!HeCalc(B46,0,Input1,Value1,Input2,Value2,Units)</f>
        <v>0</v>
      </c>
      <c r="E46" s="47" t="str">
        <f>[7]!heunit(B46,Units)</f>
        <v xml:space="preserve"> [N/m] </v>
      </c>
      <c r="F46" s="49"/>
    </row>
    <row r="47" spans="2:9" ht="13.5">
      <c r="B47" s="48">
        <v>30</v>
      </c>
      <c r="C47" s="14" t="str">
        <f>[7]!heProperty(B47)</f>
        <v xml:space="preserve"> Dielectric - 1 </v>
      </c>
      <c r="D47" s="46">
        <f>[7]!HeCalc(B47,0,Input1,Value1,Input2,Value2,Units)</f>
        <v>4.8633787972894187E-2</v>
      </c>
      <c r="E47" s="47" t="str">
        <f>[7]!heunit(B47,Units)</f>
        <v xml:space="preserve"> [-] </v>
      </c>
      <c r="F47" s="49"/>
    </row>
    <row r="48" spans="2:9" ht="13.5">
      <c r="B48" s="48">
        <v>31</v>
      </c>
      <c r="C48" s="14" t="str">
        <f>[7]!heProperty(B48)</f>
        <v xml:space="preserve"> Refraction - 1 </v>
      </c>
      <c r="D48" s="46">
        <f>[7]!HeCalc(B48,0,Input1,Value1,Input2,Value2,Units)</f>
        <v>2.4031400647372435E-2</v>
      </c>
      <c r="E48" s="47" t="str">
        <f>[7]!heunit(B48,Units)</f>
        <v xml:space="preserve"> [-] </v>
      </c>
      <c r="F48" s="49"/>
    </row>
    <row r="49" spans="2:6" ht="13.5">
      <c r="B49" s="48">
        <v>32</v>
      </c>
      <c r="C49" s="14" t="str">
        <f>[7]!heProperty(B49)</f>
        <v xml:space="preserve"> dT(P) </v>
      </c>
      <c r="D49" s="46">
        <f>[7]!HeCalc(B49,0,Input1,Value1,Input2,Value2,Units)</f>
        <v>0</v>
      </c>
      <c r="E49" s="47" t="str">
        <f>[7]!heunit(B49,Units)</f>
        <v xml:space="preserve"> [K] </v>
      </c>
      <c r="F49" s="49"/>
    </row>
    <row r="50" spans="2:6" ht="13.5">
      <c r="B50" s="48">
        <v>33</v>
      </c>
      <c r="C50" s="14" t="str">
        <f>[7]!heProperty(B50)</f>
        <v xml:space="preserve"> dT(V) </v>
      </c>
      <c r="D50" s="46">
        <f>[7]!HeCalc(B50,0,Input1,Value1,Input2,Value2,Units)</f>
        <v>0</v>
      </c>
      <c r="E50" s="47" t="str">
        <f>[7]!heunit(B50,Units)</f>
        <v xml:space="preserve"> [K] </v>
      </c>
      <c r="F50" s="49"/>
    </row>
    <row r="51" spans="2:6" ht="13.5">
      <c r="B51" s="48">
        <v>34</v>
      </c>
      <c r="C51" s="14" t="str">
        <f>[7]!heProperty(B51)</f>
        <v xml:space="preserve"> RhoS/Rho </v>
      </c>
      <c r="D51" s="46">
        <f>[7]!HeCalc(B51,0,Input1,Value1,Input2,Value2,Units)</f>
        <v>0</v>
      </c>
      <c r="E51" s="47" t="str">
        <f>[7]!heunit(B51,Units)</f>
        <v xml:space="preserve"> [-] </v>
      </c>
      <c r="F51" s="49"/>
    </row>
    <row r="52" spans="2:6" ht="13.5">
      <c r="B52" s="48">
        <v>35</v>
      </c>
      <c r="C52" s="14" t="str">
        <f>[7]!heProperty(B52)</f>
        <v xml:space="preserve"> 2nd Sound Vel. </v>
      </c>
      <c r="D52" s="46">
        <f>[7]!HeCalc(B52,0,Input1,Value1,Input2,Value2,Units)</f>
        <v>0</v>
      </c>
      <c r="E52" s="47" t="str">
        <f>[7]!heunit(B52,Units)</f>
        <v xml:space="preserve"> [m/s] </v>
      </c>
      <c r="F52" s="49"/>
    </row>
    <row r="53" spans="2:6" ht="13.5">
      <c r="B53" s="48">
        <v>36</v>
      </c>
      <c r="C53" s="14" t="str">
        <f>[7]!heProperty(B53)</f>
        <v xml:space="preserve"> 4th Sound Vel. </v>
      </c>
      <c r="D53" s="46">
        <f>[7]!HeCalc(B53,0,Input1,Value1,Input2,Value2,Units)</f>
        <v>0</v>
      </c>
      <c r="E53" s="47" t="str">
        <f>[7]!heunit(B53,Units)</f>
        <v xml:space="preserve"> [m/s] </v>
      </c>
      <c r="F53" s="49"/>
    </row>
    <row r="54" spans="2:6" ht="13.5">
      <c r="B54" s="48">
        <v>37</v>
      </c>
      <c r="C54" s="14" t="str">
        <f>[7]!heProperty(B54)</f>
        <v xml:space="preserve"> Gorter-Mellink </v>
      </c>
      <c r="D54" s="46">
        <f>[7]!HeCalc(B54,0,Input1,Value1,Input2,Value2,Units)</f>
        <v>0</v>
      </c>
      <c r="E54" s="47" t="str">
        <f>[7]!heunit(B54,Units)</f>
        <v xml:space="preserve"> [m-s/kg] </v>
      </c>
      <c r="F54" s="49"/>
    </row>
    <row r="55" spans="2:6" ht="13.5">
      <c r="B55" s="48">
        <v>38</v>
      </c>
      <c r="C55" s="14" t="str">
        <f>[7]!heProperty(B55)</f>
        <v xml:space="preserve"> SFTC </v>
      </c>
      <c r="D55" s="46">
        <f>[7]!HeCalc(B55,0,Input1,Value1,Input2,Value2,Units)</f>
        <v>0</v>
      </c>
      <c r="E55" s="47" t="str">
        <f>[7]!heunit(B55,Units)</f>
        <v xml:space="preserve"> [W3/m5-K] </v>
      </c>
      <c r="F55" s="49"/>
    </row>
    <row r="56" spans="2:6" ht="13.5">
      <c r="B56" s="48">
        <v>39</v>
      </c>
      <c r="C56" s="14" t="str">
        <f>[7]!heProperty(B56)</f>
        <v xml:space="preserve"> (T-Tlambda) </v>
      </c>
      <c r="D56" s="46">
        <f>[7]!HeCalc(B56,0,Input1,Value1,Input2,Value2,Units)</f>
        <v>0</v>
      </c>
      <c r="E56" s="47" t="str">
        <f>[7]!heunit(B56,Units)</f>
        <v xml:space="preserve"> [K] </v>
      </c>
      <c r="F56" s="49"/>
    </row>
    <row r="57" spans="2:6">
      <c r="B57" s="48">
        <v>40</v>
      </c>
      <c r="C57" s="14" t="s">
        <v>103</v>
      </c>
      <c r="D57" s="14"/>
      <c r="E57" s="47"/>
    </row>
    <row r="58" spans="2:6">
      <c r="B58" s="48">
        <v>41</v>
      </c>
      <c r="C58" s="14" t="str">
        <f>[7]!heProperty(B58)</f>
        <v xml:space="preserve"> Lambda line </v>
      </c>
      <c r="D58" s="14" t="s">
        <v>104</v>
      </c>
      <c r="E58" s="47" t="s">
        <v>105</v>
      </c>
    </row>
    <row r="59" spans="2:6">
      <c r="B59" s="48">
        <v>42</v>
      </c>
      <c r="C59" s="14" t="str">
        <f>[7]!heProperty(B59)</f>
        <v xml:space="preserve"> Melting line </v>
      </c>
      <c r="D59" s="14" t="s">
        <v>104</v>
      </c>
      <c r="E59" s="47" t="s">
        <v>105</v>
      </c>
    </row>
    <row r="60" spans="2:6">
      <c r="B60" s="48">
        <v>43</v>
      </c>
      <c r="C60" s="14" t="str">
        <f>[7]!heProperty(B60)</f>
        <v xml:space="preserve"> Saturated liquid </v>
      </c>
      <c r="D60" s="14" t="s">
        <v>104</v>
      </c>
      <c r="E60" s="47" t="s">
        <v>105</v>
      </c>
    </row>
    <row r="61" spans="2:6">
      <c r="B61" s="50">
        <v>44</v>
      </c>
      <c r="C61" s="35" t="str">
        <f>[7]!heProperty(B61)</f>
        <v xml:space="preserve"> Saturated vapor </v>
      </c>
      <c r="D61" s="35" t="s">
        <v>104</v>
      </c>
      <c r="E61" s="51" t="s">
        <v>105</v>
      </c>
    </row>
    <row r="62" spans="2:6">
      <c r="C62" s="14"/>
    </row>
  </sheetData>
  <mergeCells count="4">
    <mergeCell ref="A1:G1"/>
    <mergeCell ref="A2:G2"/>
    <mergeCell ref="A3:G3"/>
    <mergeCell ref="C5:D5"/>
  </mergeCells>
  <phoneticPr fontId="0" type="noConversion"/>
  <printOptions horizontalCentered="1"/>
  <pageMargins left="0.75" right="0.75" top="1" bottom="1" header="0" footer="0"/>
  <pageSetup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Feuil3"/>
  <dimension ref="A1:H54"/>
  <sheetViews>
    <sheetView topLeftCell="A2" workbookViewId="0">
      <selection activeCell="C2" sqref="C2:C38"/>
    </sheetView>
  </sheetViews>
  <sheetFormatPr defaultColWidth="11.42578125" defaultRowHeight="12.75"/>
  <cols>
    <col min="1" max="1" width="11.42578125" customWidth="1"/>
    <col min="2" max="2" width="20.85546875" customWidth="1"/>
    <col min="3" max="3" width="21" bestFit="1" customWidth="1"/>
  </cols>
  <sheetData>
    <row r="1" spans="1:8" ht="20.25" thickBot="1">
      <c r="B1" s="1"/>
      <c r="C1" s="2" t="s">
        <v>0</v>
      </c>
      <c r="D1" s="2"/>
      <c r="E1" s="3"/>
    </row>
    <row r="2" spans="1:8">
      <c r="A2">
        <v>1</v>
      </c>
      <c r="B2" s="4">
        <v>1</v>
      </c>
      <c r="C2" s="5" t="s">
        <v>1</v>
      </c>
      <c r="D2" s="6" t="s">
        <v>2</v>
      </c>
      <c r="E2" s="4"/>
      <c r="H2" s="4">
        <v>1</v>
      </c>
    </row>
    <row r="3" spans="1:8">
      <c r="A3">
        <v>2</v>
      </c>
      <c r="B3" s="4">
        <v>2</v>
      </c>
      <c r="C3" s="5" t="s">
        <v>3</v>
      </c>
      <c r="D3" s="6" t="s">
        <v>4</v>
      </c>
      <c r="E3" s="4"/>
      <c r="H3" s="4">
        <v>2</v>
      </c>
    </row>
    <row r="4" spans="1:8">
      <c r="A4">
        <v>3</v>
      </c>
      <c r="B4" s="4">
        <v>21</v>
      </c>
      <c r="C4" s="5" t="s">
        <v>5</v>
      </c>
      <c r="D4" s="6" t="s">
        <v>6</v>
      </c>
      <c r="E4" s="4"/>
      <c r="H4" s="4">
        <v>21</v>
      </c>
    </row>
    <row r="5" spans="1:8">
      <c r="A5">
        <v>4</v>
      </c>
      <c r="B5" s="4">
        <v>22</v>
      </c>
      <c r="C5" s="5" t="s">
        <v>5</v>
      </c>
      <c r="D5" s="6" t="s">
        <v>7</v>
      </c>
      <c r="E5" s="4"/>
      <c r="H5" s="4">
        <v>22</v>
      </c>
    </row>
    <row r="6" spans="1:8">
      <c r="A6">
        <v>5</v>
      </c>
      <c r="B6" s="4">
        <v>4</v>
      </c>
      <c r="C6" s="5" t="s">
        <v>8</v>
      </c>
      <c r="D6" s="6" t="s">
        <v>9</v>
      </c>
      <c r="E6" s="4"/>
      <c r="H6" s="4">
        <v>4</v>
      </c>
    </row>
    <row r="7" spans="1:8">
      <c r="A7">
        <v>6</v>
      </c>
      <c r="B7" s="4">
        <v>7</v>
      </c>
      <c r="C7" s="5" t="s">
        <v>10</v>
      </c>
      <c r="D7" s="6" t="s">
        <v>11</v>
      </c>
      <c r="E7" s="4"/>
      <c r="H7" s="4">
        <v>7</v>
      </c>
    </row>
    <row r="8" spans="1:8">
      <c r="A8">
        <v>7</v>
      </c>
      <c r="B8" s="4">
        <v>5</v>
      </c>
      <c r="C8" s="5" t="s">
        <v>12</v>
      </c>
      <c r="D8" s="6" t="s">
        <v>13</v>
      </c>
      <c r="E8" s="4"/>
      <c r="H8" s="4">
        <v>5</v>
      </c>
    </row>
    <row r="9" spans="1:8">
      <c r="A9">
        <v>8</v>
      </c>
      <c r="B9" s="4">
        <v>27</v>
      </c>
      <c r="C9" s="5" t="s">
        <v>14</v>
      </c>
      <c r="D9" s="6" t="s">
        <v>15</v>
      </c>
      <c r="E9" s="4"/>
      <c r="H9" s="4">
        <v>27</v>
      </c>
    </row>
    <row r="10" spans="1:8">
      <c r="A10">
        <v>9</v>
      </c>
      <c r="B10" s="4">
        <v>8</v>
      </c>
      <c r="C10" s="5" t="s">
        <v>16</v>
      </c>
      <c r="D10" s="6" t="s">
        <v>17</v>
      </c>
      <c r="E10" s="4"/>
      <c r="H10" s="4">
        <v>8</v>
      </c>
    </row>
    <row r="11" spans="1:8">
      <c r="A11">
        <v>10</v>
      </c>
      <c r="B11" s="4">
        <v>9</v>
      </c>
      <c r="C11" s="5" t="s">
        <v>18</v>
      </c>
      <c r="D11" s="6" t="s">
        <v>19</v>
      </c>
      <c r="E11" s="4"/>
      <c r="H11" s="4">
        <v>9</v>
      </c>
    </row>
    <row r="12" spans="1:8">
      <c r="A12">
        <v>11</v>
      </c>
      <c r="B12" s="4">
        <v>10</v>
      </c>
      <c r="C12" s="5" t="s">
        <v>18</v>
      </c>
      <c r="D12" s="6" t="s">
        <v>20</v>
      </c>
      <c r="E12" s="4"/>
      <c r="H12" s="4">
        <v>10</v>
      </c>
    </row>
    <row r="13" spans="1:8">
      <c r="A13">
        <v>12</v>
      </c>
      <c r="B13" s="4">
        <v>11</v>
      </c>
      <c r="C13" s="5" t="s">
        <v>21</v>
      </c>
      <c r="D13" s="6" t="s">
        <v>22</v>
      </c>
      <c r="E13" s="4"/>
      <c r="H13" s="4">
        <v>11</v>
      </c>
    </row>
    <row r="14" spans="1:8">
      <c r="A14">
        <v>13</v>
      </c>
      <c r="B14" s="4">
        <v>16</v>
      </c>
      <c r="C14" s="5" t="s">
        <v>23</v>
      </c>
      <c r="D14" s="6" t="s">
        <v>24</v>
      </c>
      <c r="E14" s="4"/>
      <c r="H14" s="4">
        <v>16</v>
      </c>
    </row>
    <row r="15" spans="1:8">
      <c r="A15">
        <v>14</v>
      </c>
      <c r="B15" s="4">
        <v>3</v>
      </c>
      <c r="C15" s="5" t="s">
        <v>25</v>
      </c>
      <c r="D15" s="6" t="s">
        <v>26</v>
      </c>
      <c r="E15" s="4"/>
      <c r="H15" s="4">
        <v>3</v>
      </c>
    </row>
    <row r="16" spans="1:8">
      <c r="A16">
        <v>15</v>
      </c>
      <c r="B16" s="4">
        <v>17</v>
      </c>
      <c r="C16" s="5" t="s">
        <v>27</v>
      </c>
      <c r="D16" s="6" t="s">
        <v>28</v>
      </c>
      <c r="E16" s="4"/>
      <c r="H16" s="4">
        <v>17</v>
      </c>
    </row>
    <row r="17" spans="1:8">
      <c r="A17">
        <v>16</v>
      </c>
      <c r="B17" s="4">
        <v>18</v>
      </c>
      <c r="C17" s="5" t="s">
        <v>29</v>
      </c>
      <c r="D17" s="6" t="s">
        <v>30</v>
      </c>
      <c r="E17" s="4"/>
      <c r="H17" s="4">
        <v>18</v>
      </c>
    </row>
    <row r="18" spans="1:8">
      <c r="A18">
        <v>17</v>
      </c>
      <c r="B18" s="4">
        <v>19</v>
      </c>
      <c r="C18" s="5" t="s">
        <v>29</v>
      </c>
      <c r="D18" s="6" t="s">
        <v>31</v>
      </c>
      <c r="E18" s="4"/>
      <c r="H18" s="4">
        <v>19</v>
      </c>
    </row>
    <row r="19" spans="1:8">
      <c r="A19">
        <v>18</v>
      </c>
      <c r="B19" s="4">
        <v>6</v>
      </c>
      <c r="C19" s="5" t="s">
        <v>32</v>
      </c>
      <c r="D19" s="6" t="s">
        <v>33</v>
      </c>
      <c r="E19" s="4"/>
      <c r="H19" s="4">
        <v>6</v>
      </c>
    </row>
    <row r="20" spans="1:8">
      <c r="A20">
        <v>19</v>
      </c>
      <c r="B20" s="4">
        <v>20</v>
      </c>
      <c r="C20" s="5" t="s">
        <v>34</v>
      </c>
      <c r="D20" s="6" t="s">
        <v>35</v>
      </c>
      <c r="E20" s="4"/>
      <c r="H20" s="4">
        <v>20</v>
      </c>
    </row>
    <row r="21" spans="1:8">
      <c r="A21">
        <v>20</v>
      </c>
      <c r="B21" s="4">
        <v>23</v>
      </c>
      <c r="C21" s="5" t="s">
        <v>36</v>
      </c>
      <c r="D21" s="6" t="s">
        <v>37</v>
      </c>
      <c r="E21" s="4"/>
      <c r="H21" s="4">
        <v>23</v>
      </c>
    </row>
    <row r="22" spans="1:8">
      <c r="A22">
        <v>21</v>
      </c>
      <c r="B22" s="4">
        <v>13</v>
      </c>
      <c r="C22" s="5" t="s">
        <v>38</v>
      </c>
      <c r="D22" s="6" t="s">
        <v>39</v>
      </c>
      <c r="E22" s="4"/>
      <c r="H22" s="4">
        <v>13</v>
      </c>
    </row>
    <row r="23" spans="1:8">
      <c r="A23">
        <v>22</v>
      </c>
      <c r="B23" s="4">
        <v>24</v>
      </c>
      <c r="C23" s="5" t="s">
        <v>40</v>
      </c>
      <c r="D23" s="6" t="s">
        <v>41</v>
      </c>
      <c r="E23" s="4"/>
      <c r="H23" s="4">
        <v>24</v>
      </c>
    </row>
    <row r="24" spans="1:8">
      <c r="A24">
        <v>23</v>
      </c>
      <c r="B24" s="4">
        <v>25</v>
      </c>
      <c r="C24" s="5" t="s">
        <v>40</v>
      </c>
      <c r="D24" s="6" t="s">
        <v>42</v>
      </c>
      <c r="E24" s="4"/>
      <c r="H24" s="4">
        <v>25</v>
      </c>
    </row>
    <row r="25" spans="1:8">
      <c r="A25">
        <v>24</v>
      </c>
      <c r="B25" s="4">
        <v>15</v>
      </c>
      <c r="C25" s="5" t="s">
        <v>170</v>
      </c>
      <c r="D25" s="6" t="s">
        <v>43</v>
      </c>
      <c r="E25" s="4"/>
      <c r="H25" s="4">
        <v>15</v>
      </c>
    </row>
    <row r="26" spans="1:8">
      <c r="A26">
        <v>25</v>
      </c>
      <c r="B26" s="4">
        <v>26</v>
      </c>
      <c r="C26" s="5" t="s">
        <v>44</v>
      </c>
      <c r="D26" s="6" t="s">
        <v>45</v>
      </c>
      <c r="E26" s="4"/>
      <c r="H26" s="4">
        <v>26</v>
      </c>
    </row>
    <row r="27" spans="1:8">
      <c r="A27">
        <v>26</v>
      </c>
      <c r="B27" s="4">
        <v>29</v>
      </c>
      <c r="C27" s="5" t="s">
        <v>46</v>
      </c>
      <c r="D27" s="6" t="s">
        <v>47</v>
      </c>
      <c r="E27" s="4"/>
      <c r="H27" s="4">
        <v>29</v>
      </c>
    </row>
    <row r="28" spans="1:8">
      <c r="A28">
        <v>27</v>
      </c>
      <c r="B28" s="4">
        <v>30</v>
      </c>
      <c r="C28" s="5" t="s">
        <v>48</v>
      </c>
      <c r="D28" s="6" t="s">
        <v>49</v>
      </c>
      <c r="E28" s="4"/>
      <c r="H28" s="4">
        <v>30</v>
      </c>
    </row>
    <row r="29" spans="1:8">
      <c r="A29">
        <v>28</v>
      </c>
      <c r="B29" s="4">
        <v>33</v>
      </c>
      <c r="C29" s="5" t="s">
        <v>50</v>
      </c>
      <c r="D29" s="6" t="s">
        <v>51</v>
      </c>
      <c r="E29" s="4"/>
      <c r="H29" s="4">
        <v>33</v>
      </c>
    </row>
    <row r="30" spans="1:8">
      <c r="A30">
        <v>29</v>
      </c>
      <c r="B30" s="4">
        <v>34</v>
      </c>
      <c r="C30" s="5" t="s">
        <v>52</v>
      </c>
      <c r="D30" s="6" t="s">
        <v>53</v>
      </c>
      <c r="E30" s="4"/>
      <c r="H30" s="4">
        <v>34</v>
      </c>
    </row>
    <row r="31" spans="1:8">
      <c r="A31">
        <v>30</v>
      </c>
      <c r="B31" s="4">
        <v>35</v>
      </c>
      <c r="C31" s="5" t="s">
        <v>54</v>
      </c>
      <c r="D31" s="6" t="s">
        <v>55</v>
      </c>
      <c r="E31" s="4"/>
      <c r="H31" s="4">
        <v>35</v>
      </c>
    </row>
    <row r="32" spans="1:8">
      <c r="A32">
        <v>31</v>
      </c>
      <c r="B32" s="4">
        <v>36</v>
      </c>
      <c r="C32" s="5" t="s">
        <v>56</v>
      </c>
      <c r="D32" s="6" t="s">
        <v>57</v>
      </c>
      <c r="E32" s="4"/>
      <c r="H32" s="4">
        <v>36</v>
      </c>
    </row>
    <row r="33" spans="1:8">
      <c r="A33">
        <v>32</v>
      </c>
      <c r="B33" s="4">
        <v>37</v>
      </c>
      <c r="C33" s="5" t="s">
        <v>56</v>
      </c>
      <c r="D33" s="6" t="s">
        <v>58</v>
      </c>
      <c r="E33" s="4"/>
      <c r="H33" s="4">
        <v>37</v>
      </c>
    </row>
    <row r="34" spans="1:8">
      <c r="A34">
        <v>33</v>
      </c>
      <c r="B34" s="4">
        <v>38</v>
      </c>
      <c r="C34" s="5" t="s">
        <v>59</v>
      </c>
      <c r="D34" s="6" t="s">
        <v>60</v>
      </c>
      <c r="E34" s="4"/>
      <c r="H34" s="4">
        <v>38</v>
      </c>
    </row>
    <row r="35" spans="1:8">
      <c r="A35">
        <v>34</v>
      </c>
      <c r="B35" s="4">
        <v>31</v>
      </c>
      <c r="C35" s="5" t="s">
        <v>61</v>
      </c>
      <c r="D35" s="6" t="s">
        <v>62</v>
      </c>
      <c r="E35" s="4"/>
      <c r="H35" s="4">
        <v>31</v>
      </c>
    </row>
    <row r="36" spans="1:8">
      <c r="A36">
        <v>35</v>
      </c>
      <c r="B36" s="4">
        <v>32</v>
      </c>
      <c r="C36" s="5" t="s">
        <v>63</v>
      </c>
      <c r="D36" s="6" t="s">
        <v>64</v>
      </c>
      <c r="E36" s="4"/>
      <c r="H36" s="4">
        <v>32</v>
      </c>
    </row>
    <row r="37" spans="1:8">
      <c r="A37">
        <v>36</v>
      </c>
      <c r="B37" s="4">
        <v>50</v>
      </c>
      <c r="C37" s="5" t="s">
        <v>63</v>
      </c>
      <c r="D37" s="6" t="s">
        <v>65</v>
      </c>
      <c r="E37" s="4"/>
      <c r="H37" s="4">
        <v>50</v>
      </c>
    </row>
    <row r="38" spans="1:8">
      <c r="A38">
        <v>37</v>
      </c>
      <c r="B38" s="4">
        <v>28</v>
      </c>
      <c r="C38" s="7" t="s">
        <v>66</v>
      </c>
      <c r="D38" s="8" t="s">
        <v>67</v>
      </c>
      <c r="E38" s="4"/>
      <c r="H38" s="4">
        <v>28</v>
      </c>
    </row>
    <row r="39" spans="1:8">
      <c r="A39" s="9">
        <v>38</v>
      </c>
      <c r="B39" s="10" t="s">
        <v>68</v>
      </c>
      <c r="C39" s="9">
        <v>1.45</v>
      </c>
      <c r="D39" s="9">
        <v>10.6</v>
      </c>
      <c r="E39" s="11"/>
    </row>
    <row r="40" spans="1:8">
      <c r="A40" s="9">
        <v>39</v>
      </c>
      <c r="B40" s="10" t="s">
        <v>69</v>
      </c>
      <c r="C40" s="9">
        <v>1.8720000000000001</v>
      </c>
      <c r="D40" s="9">
        <v>13.6</v>
      </c>
      <c r="E40" s="11"/>
    </row>
    <row r="41" spans="1:8">
      <c r="A41" s="9">
        <v>40</v>
      </c>
      <c r="B41" s="10" t="s">
        <v>70</v>
      </c>
      <c r="C41" s="9">
        <v>6.2</v>
      </c>
      <c r="D41" s="9">
        <v>10.16</v>
      </c>
      <c r="E41" s="11"/>
    </row>
    <row r="42" spans="1:8">
      <c r="A42" s="9">
        <v>41</v>
      </c>
      <c r="B42" s="10" t="s">
        <v>71</v>
      </c>
      <c r="C42" s="9">
        <v>5.75</v>
      </c>
      <c r="D42" s="9">
        <v>11.99</v>
      </c>
      <c r="E42" s="11"/>
    </row>
    <row r="43" spans="1:8">
      <c r="A43" s="9">
        <v>42</v>
      </c>
      <c r="B43" s="10" t="s">
        <v>72</v>
      </c>
      <c r="C43" s="9">
        <v>4.2300000000000004</v>
      </c>
      <c r="D43" s="9">
        <v>11.8</v>
      </c>
      <c r="E43" s="11"/>
    </row>
    <row r="44" spans="1:8">
      <c r="A44" s="9">
        <v>43</v>
      </c>
      <c r="B44" s="10" t="s">
        <v>73</v>
      </c>
      <c r="C44" s="9">
        <v>1.36</v>
      </c>
      <c r="D44" s="9">
        <v>10.8</v>
      </c>
      <c r="E44" s="11"/>
    </row>
    <row r="45" spans="1:8">
      <c r="A45" s="9">
        <v>44</v>
      </c>
      <c r="B45" s="10" t="s">
        <v>74</v>
      </c>
      <c r="C45" s="9">
        <v>1.45</v>
      </c>
      <c r="D45" s="9">
        <v>11.79</v>
      </c>
      <c r="E45" s="11"/>
    </row>
    <row r="46" spans="1:8">
      <c r="A46" s="9">
        <v>45</v>
      </c>
      <c r="B46" s="10" t="s">
        <v>75</v>
      </c>
      <c r="C46" s="9">
        <v>1500</v>
      </c>
      <c r="D46" s="9">
        <v>567.5</v>
      </c>
      <c r="E46" s="11"/>
    </row>
    <row r="47" spans="1:8">
      <c r="A47" s="9">
        <v>46</v>
      </c>
      <c r="B47" s="10" t="s">
        <v>76</v>
      </c>
      <c r="C47" s="9">
        <v>1350</v>
      </c>
      <c r="D47" s="9">
        <v>260</v>
      </c>
      <c r="E47" s="11"/>
    </row>
    <row r="48" spans="1:8">
      <c r="A48" s="9">
        <v>47</v>
      </c>
      <c r="B48" s="10" t="s">
        <v>77</v>
      </c>
      <c r="C48" s="9">
        <v>1250</v>
      </c>
      <c r="D48" s="9">
        <v>210</v>
      </c>
      <c r="E48" s="11"/>
    </row>
    <row r="49" spans="1:5">
      <c r="A49" s="9">
        <v>48</v>
      </c>
      <c r="B49" s="10" t="s">
        <v>78</v>
      </c>
      <c r="C49" s="9">
        <v>1000</v>
      </c>
      <c r="D49" s="9">
        <v>193.2</v>
      </c>
      <c r="E49" s="11"/>
    </row>
    <row r="50" spans="1:5">
      <c r="A50" s="9">
        <v>49</v>
      </c>
      <c r="B50" s="10" t="s">
        <v>79</v>
      </c>
      <c r="C50" s="9">
        <v>1500</v>
      </c>
      <c r="D50" s="9">
        <v>569.6</v>
      </c>
      <c r="E50" s="11"/>
    </row>
    <row r="51" spans="1:5">
      <c r="A51" s="9">
        <v>50</v>
      </c>
      <c r="B51" s="10" t="s">
        <v>80</v>
      </c>
      <c r="C51" s="9">
        <v>1400</v>
      </c>
      <c r="D51" s="9">
        <v>346</v>
      </c>
      <c r="E51" s="11"/>
    </row>
    <row r="52" spans="1:5">
      <c r="A52" s="9">
        <v>51</v>
      </c>
      <c r="B52" s="10" t="s">
        <v>81</v>
      </c>
      <c r="C52" s="9">
        <v>1250</v>
      </c>
      <c r="D52" s="9">
        <v>205</v>
      </c>
      <c r="E52" s="11"/>
    </row>
    <row r="53" spans="1:5">
      <c r="A53" s="9">
        <v>52</v>
      </c>
      <c r="B53" s="10" t="s">
        <v>82</v>
      </c>
      <c r="C53" s="9">
        <v>950</v>
      </c>
      <c r="D53" s="9">
        <v>214</v>
      </c>
      <c r="E53" s="11"/>
    </row>
    <row r="54" spans="1:5">
      <c r="A54" s="12"/>
      <c r="B54" s="13"/>
      <c r="C54" s="12"/>
      <c r="D54" s="12"/>
      <c r="E54" s="12"/>
    </row>
  </sheetData>
  <phoneticPr fontId="0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Turbines_JT60SA</vt:lpstr>
      <vt:lpstr>Turbines</vt:lpstr>
      <vt:lpstr>Turbine Réguléé à 2205 Hz</vt:lpstr>
      <vt:lpstr>Turbine  Libre</vt:lpstr>
      <vt:lpstr>Property HePak</vt:lpstr>
      <vt:lpstr>Fluides</vt:lpstr>
      <vt:lpstr>GP_fluides</vt:lpstr>
      <vt:lpstr>Input1</vt:lpstr>
      <vt:lpstr>Input2</vt:lpstr>
      <vt:lpstr>'Property HePak'!Print_Area</vt:lpstr>
      <vt:lpstr>'Property HePak'!Print_Titles</vt:lpstr>
      <vt:lpstr>Units</vt:lpstr>
      <vt:lpstr>Value1</vt:lpstr>
      <vt:lpstr>Value2</vt:lpstr>
    </vt:vector>
  </TitlesOfParts>
  <Company>Rimfire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McCarty</dc:creator>
  <cp:lastModifiedBy>Vincent Heloin</cp:lastModifiedBy>
  <cp:lastPrinted>2011-01-05T11:19:46Z</cp:lastPrinted>
  <dcterms:created xsi:type="dcterms:W3CDTF">1998-04-07T19:25:40Z</dcterms:created>
  <dcterms:modified xsi:type="dcterms:W3CDTF">2013-07-08T09:37:57Z</dcterms:modified>
</cp:coreProperties>
</file>