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20550" windowHeight="4035" activeTab="1"/>
  </bookViews>
  <sheets>
    <sheet name="Spec" sheetId="4" r:id="rId1"/>
    <sheet name="Spec (2)" sheetId="5" r:id="rId2"/>
    <sheet name="Feuil2" sheetId="2" r:id="rId3"/>
    <sheet name="Feuil3" sheetId="3" r:id="rId4"/>
  </sheets>
  <externalReferences>
    <externalReference r:id="rId5"/>
  </externalReferences>
  <definedNames>
    <definedName name="_ALmargin" localSheetId="0">Spec!$A$1</definedName>
    <definedName name="_ALmargin" localSheetId="1">'Spec (2)'!$A$1</definedName>
    <definedName name="_ALmargin">#REF!</definedName>
    <definedName name="_atm" localSheetId="1">'Spec (2)'!$B$4</definedName>
    <definedName name="_atm">Spec!$B$4</definedName>
    <definedName name="_Flow" localSheetId="0">Spec!$E:$E</definedName>
    <definedName name="_Flow" localSheetId="1">'Spec (2)'!$E:$E</definedName>
    <definedName name="_Flow">#REF!</definedName>
    <definedName name="_FlowAL" localSheetId="0">Spec!$F:$F</definedName>
    <definedName name="_FlowAL" localSheetId="1">'Spec (2)'!$F:$F</definedName>
    <definedName name="_FlowAL">#REF!</definedName>
    <definedName name="_hr" localSheetId="0">Spec!$L:$L</definedName>
    <definedName name="_hr" localSheetId="1">'Spec (2)'!$L:$L</definedName>
    <definedName name="_hr">#REF!</definedName>
    <definedName name="_hs" localSheetId="0">Spec!$I:$I</definedName>
    <definedName name="_hs" localSheetId="1">'Spec (2)'!$I:$I</definedName>
    <definedName name="_hs">#REF!</definedName>
    <definedName name="_Power" localSheetId="0">Spec!$C:$C</definedName>
    <definedName name="_Power" localSheetId="1">'Spec (2)'!$C:$C</definedName>
    <definedName name="_Power">#REF!</definedName>
    <definedName name="_PowerAL" localSheetId="0">Spec!$D:$D</definedName>
    <definedName name="_PowerAL" localSheetId="1">'Spec (2)'!$D:$D</definedName>
    <definedName name="_PowerAL">#REF!</definedName>
    <definedName name="_pr" localSheetId="0">Spec!$K:$K</definedName>
    <definedName name="_pr" localSheetId="1">'Spec (2)'!$K:$K</definedName>
    <definedName name="_pr">#REF!</definedName>
    <definedName name="_ps" localSheetId="0">Spec!$H:$H</definedName>
    <definedName name="_ps" localSheetId="1">'Spec (2)'!$H:$H</definedName>
    <definedName name="_ps">#REF!</definedName>
    <definedName name="_Tr" localSheetId="0">Spec!$J:$J</definedName>
    <definedName name="_Tr" localSheetId="1">'Spec (2)'!$J:$J</definedName>
    <definedName name="_Tr">#REF!</definedName>
    <definedName name="_Ts" localSheetId="0">Spec!$G:$G</definedName>
    <definedName name="_Ts" localSheetId="1">'Spec (2)'!$G:$G</definedName>
    <definedName name="_Ts">#REF!</definedName>
    <definedName name="_WW" localSheetId="1">'Spec (2)'!$C$2</definedName>
    <definedName name="_WW">Spec!$C$2</definedName>
    <definedName name="_xlnm.Print_Area" localSheetId="0">Spec!#REF!</definedName>
    <definedName name="_xlnm.Print_Area" localSheetId="1">'Spec (2)'!#REF!</definedName>
  </definedNames>
  <calcPr calcId="125725" iterate="1"/>
</workbook>
</file>

<file path=xl/calcChain.xml><?xml version="1.0" encoding="utf-8"?>
<calcChain xmlns="http://schemas.openxmlformats.org/spreadsheetml/2006/main">
  <c r="K18" i="5"/>
  <c r="H18"/>
  <c r="K9"/>
  <c r="H9"/>
  <c r="N57"/>
  <c r="K57"/>
  <c r="L57"/>
  <c r="R57"/>
  <c r="H57"/>
  <c r="F57"/>
  <c r="I57"/>
  <c r="Q57"/>
  <c r="O57" l="1"/>
  <c r="C57"/>
  <c r="D57" s="1"/>
  <c r="P57"/>
  <c r="N56"/>
  <c r="K56"/>
  <c r="L56"/>
  <c r="R56"/>
  <c r="H56"/>
  <c r="F56"/>
  <c r="I56"/>
  <c r="Q56"/>
  <c r="O56" l="1"/>
  <c r="C56"/>
  <c r="D56" s="1"/>
  <c r="P56"/>
  <c r="K55"/>
  <c r="L55"/>
  <c r="R55"/>
  <c r="J55"/>
  <c r="N55" l="1"/>
  <c r="H55"/>
  <c r="D55"/>
  <c r="I55"/>
  <c r="Q55"/>
  <c r="E55" l="1"/>
  <c r="N54"/>
  <c r="O55" l="1"/>
  <c r="F55"/>
  <c r="P55" s="1"/>
  <c r="K54"/>
  <c r="L54"/>
  <c r="R54"/>
  <c r="H54"/>
  <c r="D54"/>
  <c r="I54"/>
  <c r="Q54"/>
  <c r="E54" l="1"/>
  <c r="N53"/>
  <c r="O54" l="1"/>
  <c r="F54"/>
  <c r="P54" s="1"/>
  <c r="K53"/>
  <c r="L53"/>
  <c r="R53"/>
  <c r="H53" l="1"/>
  <c r="D53"/>
  <c r="I53"/>
  <c r="Q53"/>
  <c r="E53" l="1"/>
  <c r="N48"/>
  <c r="O53" l="1"/>
  <c r="F53"/>
  <c r="P53" s="1"/>
  <c r="K48"/>
  <c r="L48"/>
  <c r="R48"/>
  <c r="N58" l="1" a="1"/>
  <c r="N58" s="1"/>
  <c r="H48"/>
  <c r="F48"/>
  <c r="I48"/>
  <c r="Q48"/>
  <c r="O48" l="1"/>
  <c r="C48"/>
  <c r="D48" s="1"/>
  <c r="P48"/>
  <c r="N47"/>
  <c r="K47"/>
  <c r="L47"/>
  <c r="R47"/>
  <c r="H47"/>
  <c r="F47"/>
  <c r="I47"/>
  <c r="Q47"/>
  <c r="O47" l="1"/>
  <c r="C47"/>
  <c r="D47" s="1"/>
  <c r="P47"/>
  <c r="K46"/>
  <c r="L46"/>
  <c r="R46"/>
  <c r="J46"/>
  <c r="N46" l="1"/>
  <c r="H46"/>
  <c r="D46"/>
  <c r="I46"/>
  <c r="Q46"/>
  <c r="E46" l="1"/>
  <c r="N45"/>
  <c r="O46" l="1"/>
  <c r="F46"/>
  <c r="P46" s="1"/>
  <c r="K45"/>
  <c r="L45"/>
  <c r="R45"/>
  <c r="H45"/>
  <c r="D45"/>
  <c r="I45"/>
  <c r="Q45"/>
  <c r="E45" l="1"/>
  <c r="N44"/>
  <c r="O45" l="1"/>
  <c r="F45"/>
  <c r="P45" s="1"/>
  <c r="K44"/>
  <c r="L44"/>
  <c r="R44"/>
  <c r="H44"/>
  <c r="D44"/>
  <c r="I44"/>
  <c r="Q44"/>
  <c r="E44" l="1"/>
  <c r="N39"/>
  <c r="O44" l="1"/>
  <c r="F44"/>
  <c r="P44" s="1"/>
  <c r="K39"/>
  <c r="L39"/>
  <c r="R39"/>
  <c r="N49" l="1" a="1"/>
  <c r="N49" s="1"/>
  <c r="H39"/>
  <c r="F39"/>
  <c r="I39"/>
  <c r="Q39"/>
  <c r="O39" l="1"/>
  <c r="C39"/>
  <c r="D39" s="1"/>
  <c r="P39"/>
  <c r="N38"/>
  <c r="K38"/>
  <c r="L38"/>
  <c r="R38"/>
  <c r="H38"/>
  <c r="F38"/>
  <c r="I38"/>
  <c r="Q38"/>
  <c r="O38" l="1"/>
  <c r="C38"/>
  <c r="D38" s="1"/>
  <c r="P38"/>
  <c r="K37"/>
  <c r="L37"/>
  <c r="R37"/>
  <c r="J37"/>
  <c r="N37" l="1"/>
  <c r="H37"/>
  <c r="F37"/>
  <c r="I37"/>
  <c r="Q37"/>
  <c r="O37" l="1"/>
  <c r="C37"/>
  <c r="D37" s="1"/>
  <c r="P37"/>
  <c r="N36"/>
  <c r="K36"/>
  <c r="L36"/>
  <c r="R36"/>
  <c r="H36"/>
  <c r="D36"/>
  <c r="I36"/>
  <c r="Q36"/>
  <c r="E36" l="1"/>
  <c r="N35"/>
  <c r="O36" l="1"/>
  <c r="F36"/>
  <c r="P36" s="1"/>
  <c r="K35"/>
  <c r="L35"/>
  <c r="R35"/>
  <c r="H35"/>
  <c r="D35"/>
  <c r="I35"/>
  <c r="Q35"/>
  <c r="E35" l="1"/>
  <c r="N30"/>
  <c r="O35" l="1"/>
  <c r="F35"/>
  <c r="P35" s="1"/>
  <c r="K30"/>
  <c r="L30"/>
  <c r="R30"/>
  <c r="N40" l="1" a="1"/>
  <c r="N40" s="1"/>
  <c r="H30"/>
  <c r="F30"/>
  <c r="I30"/>
  <c r="Q30"/>
  <c r="O30" l="1"/>
  <c r="C30"/>
  <c r="D30" s="1"/>
  <c r="P30"/>
  <c r="N29"/>
  <c r="K29"/>
  <c r="L29"/>
  <c r="R29"/>
  <c r="H29"/>
  <c r="F29"/>
  <c r="I29"/>
  <c r="Q29"/>
  <c r="O29" l="1"/>
  <c r="C29"/>
  <c r="D29" s="1"/>
  <c r="P29"/>
  <c r="K28"/>
  <c r="L28"/>
  <c r="R28"/>
  <c r="J28"/>
  <c r="N28" l="1"/>
  <c r="H28"/>
  <c r="F28"/>
  <c r="I28"/>
  <c r="Q28"/>
  <c r="O28" l="1"/>
  <c r="C28"/>
  <c r="D28" s="1"/>
  <c r="P28"/>
  <c r="N27"/>
  <c r="K27"/>
  <c r="L27"/>
  <c r="R27"/>
  <c r="H27"/>
  <c r="D27"/>
  <c r="I27"/>
  <c r="Q27"/>
  <c r="E27" l="1"/>
  <c r="N26"/>
  <c r="O27" l="1"/>
  <c r="F27"/>
  <c r="P27" s="1"/>
  <c r="K26"/>
  <c r="L26"/>
  <c r="R26"/>
  <c r="H26"/>
  <c r="D26"/>
  <c r="I26"/>
  <c r="Q26"/>
  <c r="E26" l="1"/>
  <c r="N21"/>
  <c r="O26" l="1"/>
  <c r="F26"/>
  <c r="P26" s="1"/>
  <c r="K21"/>
  <c r="L21"/>
  <c r="R21"/>
  <c r="N31" l="1" a="1"/>
  <c r="N31" s="1"/>
  <c r="H21"/>
  <c r="F21"/>
  <c r="I21"/>
  <c r="Q21"/>
  <c r="O21" l="1"/>
  <c r="C21"/>
  <c r="D21" s="1"/>
  <c r="P21"/>
  <c r="N20"/>
  <c r="K20"/>
  <c r="L20"/>
  <c r="R20"/>
  <c r="H20"/>
  <c r="F20"/>
  <c r="I20"/>
  <c r="Q20"/>
  <c r="O20" l="1"/>
  <c r="C20"/>
  <c r="D20" s="1"/>
  <c r="P20"/>
  <c r="K19"/>
  <c r="L19"/>
  <c r="R19"/>
  <c r="J19"/>
  <c r="N19" l="1"/>
  <c r="H19"/>
  <c r="D19"/>
  <c r="I19"/>
  <c r="Q19"/>
  <c r="E19" l="1"/>
  <c r="N18"/>
  <c r="O19" l="1"/>
  <c r="F19"/>
  <c r="P19" s="1"/>
  <c r="L18"/>
  <c r="R18"/>
  <c r="D18"/>
  <c r="I18"/>
  <c r="Q18"/>
  <c r="E18" l="1"/>
  <c r="N17"/>
  <c r="O18" l="1"/>
  <c r="F18"/>
  <c r="P18" s="1"/>
  <c r="K17"/>
  <c r="L17"/>
  <c r="R17"/>
  <c r="H17"/>
  <c r="D17"/>
  <c r="I17"/>
  <c r="Q17"/>
  <c r="E17" l="1"/>
  <c r="N12"/>
  <c r="O17" l="1"/>
  <c r="F17"/>
  <c r="P17" s="1"/>
  <c r="K12"/>
  <c r="L12"/>
  <c r="R12"/>
  <c r="N22" l="1" a="1"/>
  <c r="N22" s="1"/>
  <c r="H12"/>
  <c r="F12"/>
  <c r="I12"/>
  <c r="Q12"/>
  <c r="O12" l="1"/>
  <c r="C12"/>
  <c r="D12" s="1"/>
  <c r="P12"/>
  <c r="N11"/>
  <c r="K11"/>
  <c r="L11"/>
  <c r="R11"/>
  <c r="H11"/>
  <c r="F11"/>
  <c r="I11"/>
  <c r="Q11"/>
  <c r="O11" l="1"/>
  <c r="C11"/>
  <c r="D11" s="1"/>
  <c r="P11"/>
  <c r="K10"/>
  <c r="L10"/>
  <c r="R10"/>
  <c r="J10"/>
  <c r="N10" l="1"/>
  <c r="H10"/>
  <c r="D10"/>
  <c r="I10"/>
  <c r="Q10"/>
  <c r="E10" l="1"/>
  <c r="N9"/>
  <c r="O10" l="1"/>
  <c r="F10"/>
  <c r="P10" s="1"/>
  <c r="L9"/>
  <c r="R9"/>
  <c r="D9"/>
  <c r="I9"/>
  <c r="Q9"/>
  <c r="E9" l="1"/>
  <c r="N8"/>
  <c r="O9" l="1"/>
  <c r="F9"/>
  <c r="P9" s="1"/>
  <c r="K8"/>
  <c r="L8"/>
  <c r="R8"/>
  <c r="H8"/>
  <c r="D8"/>
  <c r="C2"/>
  <c r="N59" i="4" a="1"/>
  <c r="N49" a="1"/>
  <c r="N40" a="1"/>
  <c r="N31" a="1"/>
  <c r="N22" a="1"/>
  <c r="I8" i="5"/>
  <c r="Q8"/>
  <c r="E8" l="1"/>
  <c r="P58"/>
  <c r="P59" s="1"/>
  <c r="O58"/>
  <c r="O49"/>
  <c r="P49"/>
  <c r="P40"/>
  <c r="O40"/>
  <c r="O31"/>
  <c r="P31"/>
  <c r="P22"/>
  <c r="O22"/>
  <c r="K54" i="4"/>
  <c r="H54"/>
  <c r="K53"/>
  <c r="K45"/>
  <c r="H45"/>
  <c r="K44"/>
  <c r="K36"/>
  <c r="H36"/>
  <c r="K27"/>
  <c r="H18"/>
  <c r="H27"/>
  <c r="K26"/>
  <c r="N13" a="1"/>
  <c r="O8" i="5" l="1"/>
  <c r="F8"/>
  <c r="P8" s="1"/>
  <c r="P13" s="1"/>
  <c r="O59"/>
  <c r="N59" a="1"/>
  <c r="N59" s="1"/>
  <c r="N57" i="4"/>
  <c r="K57"/>
  <c r="H57"/>
  <c r="F57"/>
  <c r="Q57"/>
  <c r="I57"/>
  <c r="R57"/>
  <c r="O13" i="5" l="1"/>
  <c r="N13" a="1"/>
  <c r="N13" s="1"/>
  <c r="N56" i="4"/>
  <c r="K56"/>
  <c r="H56"/>
  <c r="F56"/>
  <c r="R56"/>
  <c r="L57"/>
  <c r="I56"/>
  <c r="L56"/>
  <c r="Q56"/>
  <c r="O57" l="1"/>
  <c r="P57"/>
  <c r="C57"/>
  <c r="D57" s="1"/>
  <c r="O56"/>
  <c r="C56"/>
  <c r="D56" s="1"/>
  <c r="P56"/>
  <c r="K55"/>
  <c r="H55"/>
  <c r="D55"/>
  <c r="Q55"/>
  <c r="I55"/>
  <c r="J55"/>
  <c r="L55"/>
  <c r="N55" l="1"/>
  <c r="E55"/>
  <c r="N54"/>
  <c r="R55"/>
  <c r="O55" l="1"/>
  <c r="F55"/>
  <c r="P55" s="1"/>
  <c r="D54"/>
  <c r="L54"/>
  <c r="I54"/>
  <c r="R54"/>
  <c r="Q54"/>
  <c r="E54" l="1"/>
  <c r="N53"/>
  <c r="O54" l="1"/>
  <c r="F54"/>
  <c r="P54" s="1"/>
  <c r="R53"/>
  <c r="L53"/>
  <c r="H53" l="1"/>
  <c r="D53"/>
  <c r="N48"/>
  <c r="K48"/>
  <c r="L48"/>
  <c r="R48"/>
  <c r="Q53"/>
  <c r="I53"/>
  <c r="E53" l="1"/>
  <c r="H48"/>
  <c r="F48"/>
  <c r="Q48"/>
  <c r="I48"/>
  <c r="O53" l="1"/>
  <c r="F53"/>
  <c r="P53" s="1"/>
  <c r="P58" s="1"/>
  <c r="P59" s="1"/>
  <c r="O48"/>
  <c r="C48"/>
  <c r="D48" s="1"/>
  <c r="P48"/>
  <c r="N47"/>
  <c r="K47"/>
  <c r="R47"/>
  <c r="L47"/>
  <c r="O58" l="1"/>
  <c r="O59" s="1"/>
  <c r="N58" a="1"/>
  <c r="N58" s="1"/>
  <c r="N59" s="1"/>
  <c r="H47"/>
  <c r="F47"/>
  <c r="I47"/>
  <c r="Q47"/>
  <c r="O47" l="1"/>
  <c r="C47"/>
  <c r="D47" s="1"/>
  <c r="P47"/>
  <c r="K46"/>
  <c r="H46"/>
  <c r="D46"/>
  <c r="I46"/>
  <c r="Q46"/>
  <c r="J46"/>
  <c r="N46" l="1"/>
  <c r="N45"/>
  <c r="L46"/>
  <c r="R46"/>
  <c r="E46" l="1"/>
  <c r="F46" s="1"/>
  <c r="P46" s="1"/>
  <c r="D45"/>
  <c r="Q45"/>
  <c r="L45"/>
  <c r="R45"/>
  <c r="I45"/>
  <c r="O46" l="1"/>
  <c r="E45"/>
  <c r="N44"/>
  <c r="O45" l="1"/>
  <c r="F45"/>
  <c r="P45" s="1"/>
  <c r="H44"/>
  <c r="D44"/>
  <c r="N39"/>
  <c r="K39"/>
  <c r="R44"/>
  <c r="I44"/>
  <c r="L44"/>
  <c r="R39"/>
  <c r="Q44"/>
  <c r="L39"/>
  <c r="E44" l="1"/>
  <c r="H39"/>
  <c r="F39"/>
  <c r="Q39"/>
  <c r="I39"/>
  <c r="O44" l="1"/>
  <c r="F44"/>
  <c r="P44" s="1"/>
  <c r="P49" s="1"/>
  <c r="O39"/>
  <c r="C39"/>
  <c r="D39" s="1"/>
  <c r="P39"/>
  <c r="N38"/>
  <c r="K38"/>
  <c r="L38"/>
  <c r="R38"/>
  <c r="O49" l="1"/>
  <c r="N49"/>
  <c r="H38"/>
  <c r="F38"/>
  <c r="I38"/>
  <c r="Q38"/>
  <c r="O38" l="1"/>
  <c r="C38"/>
  <c r="D38" s="1"/>
  <c r="P38"/>
  <c r="K37"/>
  <c r="H37"/>
  <c r="I37"/>
  <c r="Q37"/>
  <c r="L37"/>
  <c r="N36" l="1"/>
  <c r="D36"/>
  <c r="J37"/>
  <c r="Q36"/>
  <c r="L36"/>
  <c r="R37"/>
  <c r="R36"/>
  <c r="I36"/>
  <c r="N37" l="1"/>
  <c r="E36"/>
  <c r="N35"/>
  <c r="O36" l="1"/>
  <c r="F36"/>
  <c r="P36" s="1"/>
  <c r="K35"/>
  <c r="D35"/>
  <c r="N30"/>
  <c r="K30"/>
  <c r="L30"/>
  <c r="R30"/>
  <c r="L35"/>
  <c r="H35" l="1"/>
  <c r="H30"/>
  <c r="F30"/>
  <c r="R35"/>
  <c r="I30"/>
  <c r="Q30"/>
  <c r="O30" l="1"/>
  <c r="C30"/>
  <c r="D30" s="1"/>
  <c r="P30"/>
  <c r="N29"/>
  <c r="K29"/>
  <c r="Q35"/>
  <c r="R29"/>
  <c r="I35"/>
  <c r="E35" l="1"/>
  <c r="H29"/>
  <c r="F29"/>
  <c r="Q29"/>
  <c r="I29"/>
  <c r="L29"/>
  <c r="O35" l="1"/>
  <c r="F35"/>
  <c r="P35" s="1"/>
  <c r="O29"/>
  <c r="C29"/>
  <c r="D29" s="1"/>
  <c r="P29"/>
  <c r="K28"/>
  <c r="L28"/>
  <c r="R28"/>
  <c r="J28"/>
  <c r="N28" l="1"/>
  <c r="H28"/>
  <c r="I28"/>
  <c r="Q28"/>
  <c r="C28" l="1"/>
  <c r="D28" s="1"/>
  <c r="N27"/>
  <c r="O28" l="1"/>
  <c r="F28"/>
  <c r="P28" s="1"/>
  <c r="D27"/>
  <c r="R27"/>
  <c r="I27"/>
  <c r="Q27"/>
  <c r="L27"/>
  <c r="E27" l="1"/>
  <c r="N26"/>
  <c r="O27" l="1"/>
  <c r="F27"/>
  <c r="P27" s="1"/>
  <c r="H26"/>
  <c r="D26"/>
  <c r="N21"/>
  <c r="K21"/>
  <c r="R26"/>
  <c r="L26"/>
  <c r="I26"/>
  <c r="R21"/>
  <c r="Q26"/>
  <c r="L21"/>
  <c r="E26" l="1"/>
  <c r="H21"/>
  <c r="F21"/>
  <c r="I21"/>
  <c r="Q21"/>
  <c r="O26" l="1"/>
  <c r="F26"/>
  <c r="P26" s="1"/>
  <c r="P31" s="1"/>
  <c r="O21"/>
  <c r="C21"/>
  <c r="D21" s="1"/>
  <c r="P21"/>
  <c r="N20"/>
  <c r="K20"/>
  <c r="R20"/>
  <c r="O31" l="1"/>
  <c r="N31"/>
  <c r="H20"/>
  <c r="F20"/>
  <c r="L20"/>
  <c r="I20"/>
  <c r="Q20"/>
  <c r="C20" l="1"/>
  <c r="D20" s="1"/>
  <c r="O20"/>
  <c r="P20"/>
  <c r="K19"/>
  <c r="H19"/>
  <c r="D19"/>
  <c r="I19"/>
  <c r="Q19"/>
  <c r="L19"/>
  <c r="R19"/>
  <c r="E19" l="1"/>
  <c r="N18"/>
  <c r="J19"/>
  <c r="N19" l="1"/>
  <c r="O19"/>
  <c r="F19"/>
  <c r="P19" s="1"/>
  <c r="K18"/>
  <c r="D18"/>
  <c r="Q18"/>
  <c r="R18"/>
  <c r="I18"/>
  <c r="L18"/>
  <c r="E18" l="1"/>
  <c r="N17"/>
  <c r="O18" l="1"/>
  <c r="F18"/>
  <c r="P18" s="1"/>
  <c r="K17"/>
  <c r="H17" s="1"/>
  <c r="D17"/>
  <c r="C2"/>
  <c r="K12" l="1"/>
  <c r="H12"/>
  <c r="K11"/>
  <c r="H11"/>
  <c r="K10"/>
  <c r="H10"/>
  <c r="K9"/>
  <c r="H9"/>
  <c r="K8"/>
  <c r="H8" s="1"/>
  <c r="Q17"/>
  <c r="L17"/>
  <c r="I17"/>
  <c r="R11"/>
  <c r="R17"/>
  <c r="Q11"/>
  <c r="R10"/>
  <c r="E17" l="1"/>
  <c r="F17" s="1"/>
  <c r="P17" s="1"/>
  <c r="P22" s="1"/>
  <c r="N11"/>
  <c r="L9"/>
  <c r="L10"/>
  <c r="I11"/>
  <c r="J10"/>
  <c r="I9"/>
  <c r="L11"/>
  <c r="O17" l="1"/>
  <c r="O22" s="1"/>
  <c r="N9"/>
  <c r="Q12"/>
  <c r="R12"/>
  <c r="R9"/>
  <c r="Q9"/>
  <c r="N22" l="1"/>
  <c r="N12"/>
  <c r="L12"/>
  <c r="I12"/>
  <c r="O12" l="1"/>
  <c r="F12"/>
  <c r="P12" s="1"/>
  <c r="C12"/>
  <c r="D12" s="1"/>
  <c r="N10"/>
  <c r="D10"/>
  <c r="Q10"/>
  <c r="I10"/>
  <c r="E10" l="1"/>
  <c r="O10" s="1"/>
  <c r="Q8"/>
  <c r="I8"/>
  <c r="F10" l="1"/>
  <c r="P10" s="1"/>
  <c r="N8"/>
  <c r="D8"/>
  <c r="L8"/>
  <c r="R8"/>
  <c r="E8" l="1"/>
  <c r="O8" s="1"/>
  <c r="F8" l="1"/>
  <c r="P8" s="1"/>
  <c r="D9" l="1"/>
  <c r="E9"/>
  <c r="O9" s="1"/>
  <c r="F9" l="1"/>
  <c r="P9" s="1"/>
  <c r="C11"/>
  <c r="D11" s="1"/>
  <c r="F11"/>
  <c r="P11" s="1"/>
  <c r="O11"/>
  <c r="N13" l="1"/>
  <c r="P13"/>
  <c r="O13"/>
  <c r="C37"/>
  <c r="D37" s="1"/>
  <c r="F37"/>
  <c r="P37" s="1"/>
  <c r="P40" s="1"/>
  <c r="O37"/>
  <c r="O40" l="1"/>
  <c r="N40"/>
</calcChain>
</file>

<file path=xl/sharedStrings.xml><?xml version="1.0" encoding="utf-8"?>
<sst xmlns="http://schemas.openxmlformats.org/spreadsheetml/2006/main" count="309" uniqueCount="30">
  <si>
    <t>Power</t>
  </si>
  <si>
    <t>Spec</t>
  </si>
  <si>
    <t>with margin</t>
  </si>
  <si>
    <t>Flow</t>
  </si>
  <si>
    <t>Temperature</t>
  </si>
  <si>
    <t>Pressure</t>
  </si>
  <si>
    <t>Enthalpy</t>
  </si>
  <si>
    <t>Supply</t>
  </si>
  <si>
    <t>Return</t>
  </si>
  <si>
    <t>Thermal shields</t>
  </si>
  <si>
    <t>AL-AT Process margin</t>
  </si>
  <si>
    <t>Supply s</t>
  </si>
  <si>
    <t>Return s</t>
  </si>
  <si>
    <t>Exergy</t>
  </si>
  <si>
    <t>Barycentric T</t>
  </si>
  <si>
    <t>Max Capacity</t>
  </si>
  <si>
    <t>Cold Intercept</t>
  </si>
  <si>
    <t>4-K Refrigeration</t>
  </si>
  <si>
    <t>4-K Liquefaction</t>
  </si>
  <si>
    <t>Sub-Atmospheric</t>
  </si>
  <si>
    <t>Hot Ref Temperature</t>
  </si>
  <si>
    <t>Cold Ref Temperature</t>
  </si>
  <si>
    <t>Nominal Turndown</t>
  </si>
  <si>
    <t>Max Liquefaction</t>
  </si>
  <si>
    <t>Max Refrigeration</t>
  </si>
  <si>
    <t>Max Fill</t>
  </si>
  <si>
    <t>Standby</t>
  </si>
  <si>
    <t>SLAC JLAB - 11/06/2014</t>
  </si>
  <si>
    <t>SLAC JLAB - 23/02/2014</t>
  </si>
  <si>
    <t>Modif Spec</t>
  </si>
</sst>
</file>

<file path=xl/styles.xml><?xml version="1.0" encoding="utf-8"?>
<styleSheet xmlns="http://schemas.openxmlformats.org/spreadsheetml/2006/main">
  <numFmts count="9">
    <numFmt numFmtId="164" formatCode="#,##0.0&quot; g/s&quot;"/>
    <numFmt numFmtId="165" formatCode="#,##0.0&quot; K&quot;"/>
    <numFmt numFmtId="166" formatCode="#,##0.0&quot; J/g&quot;"/>
    <numFmt numFmtId="167" formatCode="#,##0.0&quot; W&quot;"/>
    <numFmt numFmtId="168" formatCode="#,##0.00&quot; bar&quot;"/>
    <numFmt numFmtId="169" formatCode="#,##0.00&quot; J/g.K&quot;"/>
    <numFmt numFmtId="170" formatCode="#,##0.00&quot; K&quot;"/>
    <numFmt numFmtId="171" formatCode="0.00000&quot; bar/atm&quot;"/>
    <numFmt numFmtId="172" formatCode="0.00&quot; W/W&quot;"/>
  </numFmts>
  <fonts count="8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64" fontId="2" fillId="0" borderId="17" xfId="0" applyNumberFormat="1" applyFont="1" applyBorder="1" applyAlignment="1">
      <alignment vertical="center"/>
    </xf>
    <xf numFmtId="164" fontId="2" fillId="0" borderId="19" xfId="0" applyNumberFormat="1" applyFont="1" applyBorder="1" applyAlignment="1">
      <alignment vertical="center"/>
    </xf>
    <xf numFmtId="165" fontId="2" fillId="0" borderId="1" xfId="0" applyNumberFormat="1" applyFont="1" applyBorder="1" applyAlignment="1">
      <alignment vertical="center"/>
    </xf>
    <xf numFmtId="165" fontId="2" fillId="0" borderId="2" xfId="0" applyNumberFormat="1" applyFont="1" applyBorder="1" applyAlignment="1">
      <alignment vertical="center"/>
    </xf>
    <xf numFmtId="165" fontId="2" fillId="0" borderId="15" xfId="0" applyNumberFormat="1" applyFont="1" applyBorder="1" applyAlignment="1">
      <alignment vertical="center"/>
    </xf>
    <xf numFmtId="165" fontId="2" fillId="0" borderId="17" xfId="0" applyNumberFormat="1" applyFont="1" applyBorder="1" applyAlignment="1">
      <alignment vertical="center"/>
    </xf>
    <xf numFmtId="165" fontId="2" fillId="0" borderId="19" xfId="0" applyNumberFormat="1" applyFont="1" applyBorder="1" applyAlignment="1">
      <alignment vertical="center"/>
    </xf>
    <xf numFmtId="168" fontId="2" fillId="0" borderId="3" xfId="0" applyNumberFormat="1" applyFont="1" applyBorder="1" applyAlignment="1">
      <alignment vertical="center"/>
    </xf>
    <xf numFmtId="167" fontId="2" fillId="0" borderId="7" xfId="0" applyNumberFormat="1" applyFont="1" applyBorder="1" applyAlignment="1">
      <alignment vertical="center"/>
    </xf>
    <xf numFmtId="169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170" fontId="0" fillId="0" borderId="0" xfId="0" applyNumberFormat="1" applyAlignment="1">
      <alignment vertical="center"/>
    </xf>
    <xf numFmtId="167" fontId="2" fillId="0" borderId="8" xfId="0" applyNumberFormat="1" applyFont="1" applyBorder="1" applyAlignment="1">
      <alignment vertical="center"/>
    </xf>
    <xf numFmtId="164" fontId="3" fillId="0" borderId="17" xfId="0" applyNumberFormat="1" applyFont="1" applyBorder="1" applyAlignment="1">
      <alignment vertical="center"/>
    </xf>
    <xf numFmtId="0" fontId="0" fillId="0" borderId="0" xfId="0" applyFont="1" applyAlignment="1">
      <alignment vertical="center"/>
    </xf>
    <xf numFmtId="170" fontId="0" fillId="0" borderId="0" xfId="0" applyNumberFormat="1" applyFont="1" applyAlignment="1">
      <alignment vertical="center"/>
    </xf>
    <xf numFmtId="169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167" fontId="3" fillId="0" borderId="1" xfId="0" applyNumberFormat="1" applyFont="1" applyBorder="1" applyAlignment="1">
      <alignment vertical="center"/>
    </xf>
    <xf numFmtId="164" fontId="3" fillId="0" borderId="15" xfId="0" applyNumberFormat="1" applyFont="1" applyBorder="1" applyAlignment="1">
      <alignment vertical="center"/>
    </xf>
    <xf numFmtId="164" fontId="3" fillId="0" borderId="16" xfId="0" applyNumberFormat="1" applyFont="1" applyBorder="1" applyAlignment="1">
      <alignment vertical="center"/>
    </xf>
    <xf numFmtId="166" fontId="3" fillId="0" borderId="1" xfId="0" applyNumberFormat="1" applyFont="1" applyBorder="1" applyAlignment="1">
      <alignment vertical="center"/>
    </xf>
    <xf numFmtId="167" fontId="3" fillId="0" borderId="2" xfId="0" applyNumberFormat="1" applyFont="1" applyBorder="1" applyAlignment="1">
      <alignment vertical="center"/>
    </xf>
    <xf numFmtId="164" fontId="3" fillId="0" borderId="18" xfId="0" applyNumberFormat="1" applyFont="1" applyBorder="1" applyAlignment="1">
      <alignment vertical="center"/>
    </xf>
    <xf numFmtId="166" fontId="3" fillId="0" borderId="2" xfId="0" applyNumberFormat="1" applyFont="1" applyBorder="1" applyAlignment="1">
      <alignment vertical="center"/>
    </xf>
    <xf numFmtId="167" fontId="3" fillId="0" borderId="9" xfId="0" applyNumberFormat="1" applyFont="1" applyBorder="1" applyAlignment="1">
      <alignment vertical="center"/>
    </xf>
    <xf numFmtId="167" fontId="3" fillId="0" borderId="3" xfId="0" applyNumberFormat="1" applyFont="1" applyBorder="1" applyAlignment="1">
      <alignment vertical="center"/>
    </xf>
    <xf numFmtId="164" fontId="3" fillId="0" borderId="20" xfId="0" applyNumberFormat="1" applyFont="1" applyBorder="1" applyAlignment="1">
      <alignment vertical="center"/>
    </xf>
    <xf numFmtId="166" fontId="3" fillId="0" borderId="3" xfId="0" applyNumberFormat="1" applyFont="1" applyBorder="1" applyAlignment="1">
      <alignment vertical="center"/>
    </xf>
    <xf numFmtId="171" fontId="0" fillId="0" borderId="0" xfId="0" applyNumberFormat="1" applyAlignment="1">
      <alignment vertical="center"/>
    </xf>
    <xf numFmtId="168" fontId="3" fillId="0" borderId="1" xfId="0" applyNumberFormat="1" applyFont="1" applyBorder="1" applyAlignment="1">
      <alignment vertical="center"/>
    </xf>
    <xf numFmtId="168" fontId="2" fillId="0" borderId="1" xfId="0" applyNumberFormat="1" applyFont="1" applyBorder="1" applyAlignment="1">
      <alignment vertical="center"/>
    </xf>
    <xf numFmtId="168" fontId="2" fillId="0" borderId="2" xfId="0" applyNumberFormat="1" applyFont="1" applyBorder="1" applyAlignment="1">
      <alignment vertical="center"/>
    </xf>
    <xf numFmtId="164" fontId="4" fillId="0" borderId="17" xfId="0" applyNumberFormat="1" applyFont="1" applyBorder="1" applyAlignment="1">
      <alignment vertical="center"/>
    </xf>
    <xf numFmtId="170" fontId="2" fillId="0" borderId="17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67" fontId="3" fillId="0" borderId="0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3" fillId="0" borderId="0" xfId="0" applyNumberFormat="1" applyFont="1" applyBorder="1" applyAlignment="1">
      <alignment vertical="center"/>
    </xf>
    <xf numFmtId="165" fontId="2" fillId="0" borderId="0" xfId="0" applyNumberFormat="1" applyFont="1" applyBorder="1" applyAlignment="1">
      <alignment vertical="center"/>
    </xf>
    <xf numFmtId="168" fontId="2" fillId="0" borderId="0" xfId="0" applyNumberFormat="1" applyFont="1" applyBorder="1" applyAlignment="1">
      <alignment vertical="center"/>
    </xf>
    <xf numFmtId="166" fontId="3" fillId="0" borderId="0" xfId="0" applyNumberFormat="1" applyFont="1" applyBorder="1" applyAlignment="1">
      <alignment vertical="center"/>
    </xf>
    <xf numFmtId="170" fontId="3" fillId="0" borderId="17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170" fontId="0" fillId="0" borderId="21" xfId="0" applyNumberFormat="1" applyBorder="1" applyAlignment="1">
      <alignment vertical="center"/>
    </xf>
    <xf numFmtId="167" fontId="0" fillId="0" borderId="21" xfId="0" applyNumberFormat="1" applyBorder="1" applyAlignment="1">
      <alignment vertical="center"/>
    </xf>
    <xf numFmtId="9" fontId="2" fillId="0" borderId="22" xfId="0" applyNumberFormat="1" applyFont="1" applyBorder="1" applyAlignment="1">
      <alignment horizontal="center" vertical="center"/>
    </xf>
    <xf numFmtId="0" fontId="0" fillId="0" borderId="23" xfId="0" applyBorder="1" applyAlignment="1">
      <alignment vertical="center"/>
    </xf>
    <xf numFmtId="165" fontId="2" fillId="0" borderId="8" xfId="0" applyNumberFormat="1" applyFont="1" applyBorder="1" applyAlignment="1">
      <alignment vertical="center"/>
    </xf>
    <xf numFmtId="9" fontId="2" fillId="0" borderId="24" xfId="0" applyNumberFormat="1" applyFont="1" applyBorder="1" applyAlignment="1">
      <alignment horizontal="center" vertical="center"/>
    </xf>
    <xf numFmtId="171" fontId="0" fillId="0" borderId="25" xfId="0" applyNumberFormat="1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3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2" fontId="0" fillId="0" borderId="27" xfId="0" applyNumberFormat="1" applyBorder="1" applyAlignment="1">
      <alignment horizontal="center" vertical="center"/>
    </xf>
    <xf numFmtId="172" fontId="0" fillId="0" borderId="28" xfId="0" applyNumberFormat="1" applyBorder="1" applyAlignment="1">
      <alignment horizontal="center" vertical="center"/>
    </xf>
    <xf numFmtId="165" fontId="6" fillId="3" borderId="2" xfId="0" applyNumberFormat="1" applyFont="1" applyFill="1" applyBorder="1" applyAlignment="1">
      <alignment vertical="center"/>
    </xf>
    <xf numFmtId="168" fontId="6" fillId="3" borderId="2" xfId="0" applyNumberFormat="1" applyFont="1" applyFill="1" applyBorder="1" applyAlignment="1">
      <alignment vertical="center"/>
    </xf>
    <xf numFmtId="0" fontId="7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Startup" Target="HePak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definedNames>
      <definedName name="hecalc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9"/>
  <sheetViews>
    <sheetView showGridLines="0" zoomScaleNormal="100" zoomScaleSheetLayoutView="85" zoomScalePageLayoutView="85" workbookViewId="0">
      <selection activeCell="G10" sqref="G10"/>
    </sheetView>
  </sheetViews>
  <sheetFormatPr baseColWidth="10" defaultRowHeight="15"/>
  <cols>
    <col min="1" max="1" width="7.140625" style="1" bestFit="1" customWidth="1"/>
    <col min="2" max="2" width="20" style="1" bestFit="1" customWidth="1"/>
    <col min="3" max="3" width="13.140625" style="1" customWidth="1"/>
    <col min="4" max="4" width="15.7109375" style="1" customWidth="1"/>
    <col min="5" max="12" width="13.140625" style="1" customWidth="1"/>
    <col min="13" max="13" width="6.28515625" style="1" customWidth="1"/>
    <col min="14" max="14" width="12.5703125" style="1" bestFit="1" customWidth="1"/>
    <col min="15" max="16" width="13.28515625" style="1" bestFit="1" customWidth="1"/>
    <col min="17" max="17" width="12" style="1" customWidth="1"/>
    <col min="18" max="18" width="11.7109375" style="1" customWidth="1"/>
    <col min="19" max="16384" width="11.42578125" style="1"/>
  </cols>
  <sheetData>
    <row r="1" spans="1:18" ht="15.75" customHeight="1">
      <c r="A1" s="55">
        <v>0.05</v>
      </c>
      <c r="B1" s="56" t="s">
        <v>10</v>
      </c>
      <c r="C1" s="6"/>
      <c r="E1" s="67" t="s">
        <v>27</v>
      </c>
      <c r="F1" s="67"/>
      <c r="G1" s="67"/>
    </row>
    <row r="2" spans="1:18">
      <c r="A2" s="57">
        <v>300</v>
      </c>
      <c r="B2" s="2" t="s">
        <v>20</v>
      </c>
      <c r="C2" s="68">
        <f>(A2-A3)/A3</f>
        <v>65.666666666666671</v>
      </c>
      <c r="D2" s="38"/>
      <c r="E2" s="67"/>
      <c r="F2" s="67"/>
      <c r="G2" s="67"/>
    </row>
    <row r="3" spans="1:18">
      <c r="A3" s="57">
        <v>4.5</v>
      </c>
      <c r="B3" s="2" t="s">
        <v>21</v>
      </c>
      <c r="C3" s="69"/>
      <c r="D3" s="38"/>
    </row>
    <row r="4" spans="1:18">
      <c r="A4" s="58"/>
      <c r="B4" s="59">
        <v>1.01325</v>
      </c>
      <c r="C4" s="60"/>
      <c r="D4" s="38"/>
    </row>
    <row r="6" spans="1:18">
      <c r="B6" s="63" t="s">
        <v>15</v>
      </c>
      <c r="C6" s="65" t="s">
        <v>0</v>
      </c>
      <c r="D6" s="61"/>
      <c r="E6" s="62" t="s">
        <v>3</v>
      </c>
      <c r="F6" s="66"/>
      <c r="G6" s="61" t="s">
        <v>7</v>
      </c>
      <c r="H6" s="61"/>
      <c r="I6" s="61"/>
      <c r="J6" s="62" t="s">
        <v>8</v>
      </c>
      <c r="K6" s="61"/>
      <c r="L6" s="61"/>
    </row>
    <row r="7" spans="1:18">
      <c r="B7" s="64"/>
      <c r="C7" s="5" t="s">
        <v>1</v>
      </c>
      <c r="D7" s="4" t="s">
        <v>2</v>
      </c>
      <c r="E7" s="7" t="s">
        <v>1</v>
      </c>
      <c r="F7" s="8" t="s">
        <v>2</v>
      </c>
      <c r="G7" s="4" t="s">
        <v>4</v>
      </c>
      <c r="H7" s="4" t="s">
        <v>5</v>
      </c>
      <c r="I7" s="4" t="s">
        <v>6</v>
      </c>
      <c r="J7" s="7" t="s">
        <v>4</v>
      </c>
      <c r="K7" s="4" t="s">
        <v>5</v>
      </c>
      <c r="L7" s="4" t="s">
        <v>6</v>
      </c>
      <c r="N7" s="52" t="s">
        <v>14</v>
      </c>
      <c r="O7" s="52" t="s">
        <v>13</v>
      </c>
      <c r="P7" s="52" t="s">
        <v>2</v>
      </c>
      <c r="Q7" s="52" t="s">
        <v>11</v>
      </c>
      <c r="R7" s="52" t="s">
        <v>12</v>
      </c>
    </row>
    <row r="8" spans="1:18">
      <c r="B8" s="6" t="s">
        <v>9</v>
      </c>
      <c r="C8" s="17">
        <v>15200</v>
      </c>
      <c r="D8" s="27">
        <f>_Power*(1+_ALmargin)</f>
        <v>15960</v>
      </c>
      <c r="E8" s="28">
        <f>_Power/(_hr-_hs)</f>
        <v>145.52924855721722</v>
      </c>
      <c r="F8" s="29">
        <f>_Flow*(1+_ALmargin)</f>
        <v>152.80571098507809</v>
      </c>
      <c r="G8" s="11">
        <v>35</v>
      </c>
      <c r="H8" s="39">
        <f>K8+_atm</f>
        <v>3.5463750000000003</v>
      </c>
      <c r="I8" s="30">
        <f>[1]!hecalc(9,0,1,_ps*100000,2,_Ts/1,1)/1000</f>
        <v>196.82866513005004</v>
      </c>
      <c r="J8" s="13">
        <v>55</v>
      </c>
      <c r="K8" s="40">
        <f>2.5*_atm</f>
        <v>2.5331250000000001</v>
      </c>
      <c r="L8" s="30">
        <f>[1]!hecalc(9,0,1,_pr*100000,2,_Tr/1,1)/1000</f>
        <v>301.27502316936796</v>
      </c>
      <c r="N8" s="20">
        <f>IF(_Ts=_Tr,_Ts,(_Ts-_Tr)/LN(_Ts/_Tr))</f>
        <v>44.249243944961165</v>
      </c>
      <c r="O8" s="19">
        <f t="shared" ref="O8:P12" si="0">E8*(($I8-$L8)-300*($Q8-$R8))</f>
        <v>118640.07257927561</v>
      </c>
      <c r="P8" s="19">
        <f t="shared" si="0"/>
        <v>124572.07620823941</v>
      </c>
      <c r="Q8" s="18">
        <f>[1]!hecalc(8,0,1,_ps*100000,2,_Ts/1,1)/1000</f>
        <v>17.800190777067577</v>
      </c>
      <c r="R8" s="18">
        <f>[1]!hecalc(8,0,1,_pr*100000,2,_Tr/1,1)/1000</f>
        <v>20.865784667555147</v>
      </c>
    </row>
    <row r="9" spans="1:18" s="23" customFormat="1">
      <c r="B9" s="2" t="s">
        <v>16</v>
      </c>
      <c r="C9" s="21">
        <v>1300</v>
      </c>
      <c r="D9" s="31">
        <f>_Power*(1+_ALmargin)</f>
        <v>1365</v>
      </c>
      <c r="E9" s="42">
        <f>_Power/(_hr-_hs)</f>
        <v>40.799728184189604</v>
      </c>
      <c r="F9" s="32">
        <f>_Flow*(1+_ALmargin)</f>
        <v>42.839714593399087</v>
      </c>
      <c r="G9" s="12">
        <v>5.5</v>
      </c>
      <c r="H9" s="41">
        <f>3.25*_atm</f>
        <v>3.2930625</v>
      </c>
      <c r="I9" s="33">
        <f>[1]!hecalc(9,0,1,_ps*100000,2,_Ts/1,1)/1000</f>
        <v>19.06892950016093</v>
      </c>
      <c r="J9" s="14">
        <v>7.5</v>
      </c>
      <c r="K9" s="41">
        <f>1.29*_atm</f>
        <v>1.3070925</v>
      </c>
      <c r="L9" s="33">
        <f>[1]!hecalc(9,0,1,_pr*100000,2,_Tr/1,1)/1000</f>
        <v>50.931886874072212</v>
      </c>
      <c r="N9" s="24">
        <f>IF(_Ts=_Tr,_Ts,(_Ts-_Tr)/LN(_Ts/_Tr))</f>
        <v>6.4483901994964388</v>
      </c>
      <c r="O9" s="26">
        <f t="shared" si="0"/>
        <v>79691.245608208657</v>
      </c>
      <c r="P9" s="26">
        <f t="shared" si="0"/>
        <v>83675.807888619092</v>
      </c>
      <c r="Q9" s="25">
        <f>[1]!hecalc(8,0,1,_ps*100000,2,_Ts/1,1)/1000</f>
        <v>5.0083999807960771</v>
      </c>
      <c r="R9" s="25">
        <f>[1]!hecalc(8,0,1,_pr*100000,2,_Tr/1,1)/1000</f>
        <v>11.625375894832825</v>
      </c>
    </row>
    <row r="10" spans="1:18">
      <c r="B10" s="2" t="s">
        <v>17</v>
      </c>
      <c r="C10" s="21">
        <v>0</v>
      </c>
      <c r="D10" s="31">
        <f>_Power*(1+_ALmargin)</f>
        <v>0</v>
      </c>
      <c r="E10" s="22">
        <f>_Power/(_hr-_hs)</f>
        <v>0</v>
      </c>
      <c r="F10" s="32">
        <f>_Flow*(1+_ALmargin)</f>
        <v>0</v>
      </c>
      <c r="G10" s="12">
        <v>4.5</v>
      </c>
      <c r="H10" s="41">
        <f>3.2*_atm</f>
        <v>3.2423999999999999</v>
      </c>
      <c r="I10" s="33">
        <f>[1]!hecalc(9,0,1,_ps*100000,2,_Ts/1,1)/1000</f>
        <v>11.848413826189979</v>
      </c>
      <c r="J10" s="51">
        <f>[1]!hecalc(2,0,1,_pr*100000,0,1,1)</f>
        <v>4.4495410194741067</v>
      </c>
      <c r="K10" s="41">
        <f>1.23*_atm</f>
        <v>1.2462975000000001</v>
      </c>
      <c r="L10" s="33">
        <f>[1]!hecalc(9,0,1,_pr*100000,0,1,1)/1000</f>
        <v>30.550925159594758</v>
      </c>
      <c r="N10" s="20">
        <f>IF(_Ts=_Tr,_Ts,(_Ts-_Tr)/LN(_Ts/_Tr))</f>
        <v>4.4747230933333082</v>
      </c>
      <c r="O10" s="19">
        <f t="shared" si="0"/>
        <v>0</v>
      </c>
      <c r="P10" s="19">
        <f t="shared" si="0"/>
        <v>0</v>
      </c>
      <c r="Q10" s="18">
        <f>[1]!hecalc(8,0,1,_ps*100000,2,_Ts/1,1)/1000</f>
        <v>3.5948081522381865</v>
      </c>
      <c r="R10" s="18">
        <f>[1]!hecalc(8,0,1,_pr*100000,0,1,1)/1000</f>
        <v>8.1441646518803132</v>
      </c>
    </row>
    <row r="11" spans="1:18">
      <c r="B11" s="2" t="s">
        <v>18</v>
      </c>
      <c r="C11" s="34">
        <f>_Flow*(_hr-_hs)</f>
        <v>23425.547337946809</v>
      </c>
      <c r="D11" s="31">
        <f>_Power*(1+_ALmargin)</f>
        <v>24596.824704844152</v>
      </c>
      <c r="E11" s="9">
        <v>15</v>
      </c>
      <c r="F11" s="32">
        <f>_Flow*(1+_ALmargin)</f>
        <v>15.75</v>
      </c>
      <c r="G11" s="12">
        <v>4.5</v>
      </c>
      <c r="H11" s="41">
        <f>3.2*_atm</f>
        <v>3.2423999999999999</v>
      </c>
      <c r="I11" s="33">
        <f>[1]!hecalc(9,0,1,_ps*100000,2,_Ts/1,1)/1000</f>
        <v>11.848413826189979</v>
      </c>
      <c r="J11" s="43">
        <v>300</v>
      </c>
      <c r="K11" s="41">
        <f>1.1*_atm</f>
        <v>1.1145750000000001</v>
      </c>
      <c r="L11" s="33">
        <f>[1]!hecalc(9,0,1,_pr*100000,2,_Tr/1,1)/1000</f>
        <v>1573.5515696893106</v>
      </c>
      <c r="N11" s="20">
        <f>IF(_Ts=_Tr,_Ts,(_Ts-_Tr)/LN(_Ts/_Tr))</f>
        <v>70.362083651162649</v>
      </c>
      <c r="O11" s="19">
        <f t="shared" si="0"/>
        <v>101636.53346799086</v>
      </c>
      <c r="P11" s="19">
        <f t="shared" si="0"/>
        <v>106718.3601413904</v>
      </c>
      <c r="Q11" s="18">
        <f>[1]!hecalc(8,0,1,_ps*100000,2,_Ts/1,1)/1000</f>
        <v>3.5948081522381865</v>
      </c>
      <c r="R11" s="18">
        <f>[1]!hecalc(8,0,1,_pr*100000,2,_Tr/1,1)/1000</f>
        <v>31.386381664668782</v>
      </c>
    </row>
    <row r="12" spans="1:18" ht="15.75" thickBot="1">
      <c r="B12" s="3" t="s">
        <v>19</v>
      </c>
      <c r="C12" s="34">
        <f>_Flow*(_hr-_hs)</f>
        <v>31803.605618964975</v>
      </c>
      <c r="D12" s="35">
        <f>_Power*(1+_ALmargin)</f>
        <v>33393.785899913222</v>
      </c>
      <c r="E12" s="10">
        <v>200</v>
      </c>
      <c r="F12" s="36">
        <f>_Flow*(1+_ALmargin)</f>
        <v>210</v>
      </c>
      <c r="G12" s="15">
        <v>4.5</v>
      </c>
      <c r="H12" s="16">
        <f>3.2*_atm</f>
        <v>3.2423999999999999</v>
      </c>
      <c r="I12" s="37">
        <f>[1]!hecalc(9,0,1,_ps*100000,2,_Ts/1,1)/1000</f>
        <v>11.848413826189979</v>
      </c>
      <c r="J12" s="15">
        <v>30</v>
      </c>
      <c r="K12" s="16">
        <f>1.2*_atm</f>
        <v>1.2159</v>
      </c>
      <c r="L12" s="37">
        <f>[1]!hecalc(9,0,1,_pr*100000,2,_Tr/1,1)/1000</f>
        <v>170.86644192101485</v>
      </c>
      <c r="N12" s="20">
        <f>IF(_Ts=_Tr,_Ts,(_Ts-_Tr)/LN(_Ts/_Tr))</f>
        <v>13.441427112230816</v>
      </c>
      <c r="O12" s="19">
        <f t="shared" si="0"/>
        <v>906640.95495583664</v>
      </c>
      <c r="P12" s="19">
        <f t="shared" si="0"/>
        <v>951973.00270362839</v>
      </c>
      <c r="Q12" s="18">
        <f>[1]!hecalc(8,0,1,_ps*100000,2,_Ts/1,1)/1000</f>
        <v>3.5948081522381865</v>
      </c>
      <c r="R12" s="18">
        <f>[1]!hecalc(8,0,1,_pr*100000,2,_Tr/1,1)/1000</f>
        <v>19.235550828484882</v>
      </c>
    </row>
    <row r="13" spans="1:18" ht="15.75" thickTop="1">
      <c r="B13" s="44"/>
      <c r="C13" s="45"/>
      <c r="D13" s="45"/>
      <c r="E13" s="46"/>
      <c r="F13" s="47"/>
      <c r="G13" s="48"/>
      <c r="H13" s="49"/>
      <c r="I13" s="50"/>
      <c r="J13" s="48"/>
      <c r="K13" s="49"/>
      <c r="L13" s="50"/>
      <c r="N13" s="53">
        <f t="array" ref="N13">SUM(N8:N12*O8:O12)/SUM(O8:O12)</f>
        <v>20.803362453288564</v>
      </c>
      <c r="O13" s="54">
        <f>SUM(O8:O12)/_WW</f>
        <v>18374.75340017226</v>
      </c>
      <c r="P13" s="54">
        <f>SUM(P8:P12)/_WW</f>
        <v>19293.491070180869</v>
      </c>
      <c r="Q13" s="18"/>
      <c r="R13" s="18"/>
    </row>
    <row r="15" spans="1:18">
      <c r="B15" s="63" t="s">
        <v>22</v>
      </c>
      <c r="C15" s="65" t="s">
        <v>0</v>
      </c>
      <c r="D15" s="61"/>
      <c r="E15" s="62" t="s">
        <v>3</v>
      </c>
      <c r="F15" s="66"/>
      <c r="G15" s="61" t="s">
        <v>7</v>
      </c>
      <c r="H15" s="61"/>
      <c r="I15" s="61"/>
      <c r="J15" s="62" t="s">
        <v>8</v>
      </c>
      <c r="K15" s="61"/>
      <c r="L15" s="61"/>
    </row>
    <row r="16" spans="1:18">
      <c r="B16" s="64"/>
      <c r="C16" s="5" t="s">
        <v>1</v>
      </c>
      <c r="D16" s="4" t="s">
        <v>2</v>
      </c>
      <c r="E16" s="7" t="s">
        <v>1</v>
      </c>
      <c r="F16" s="8" t="s">
        <v>2</v>
      </c>
      <c r="G16" s="4" t="s">
        <v>4</v>
      </c>
      <c r="H16" s="4" t="s">
        <v>5</v>
      </c>
      <c r="I16" s="4" t="s">
        <v>6</v>
      </c>
      <c r="J16" s="7" t="s">
        <v>4</v>
      </c>
      <c r="K16" s="4" t="s">
        <v>5</v>
      </c>
      <c r="L16" s="4" t="s">
        <v>6</v>
      </c>
      <c r="N16" s="1" t="s">
        <v>14</v>
      </c>
      <c r="O16" s="1" t="s">
        <v>13</v>
      </c>
      <c r="P16" s="1" t="s">
        <v>2</v>
      </c>
      <c r="Q16" s="1" t="s">
        <v>11</v>
      </c>
      <c r="R16" s="1" t="s">
        <v>12</v>
      </c>
    </row>
    <row r="17" spans="2:18">
      <c r="B17" s="6" t="s">
        <v>9</v>
      </c>
      <c r="C17" s="17">
        <v>10100</v>
      </c>
      <c r="D17" s="27">
        <f>_Power*(1+_ALmargin)</f>
        <v>10605</v>
      </c>
      <c r="E17" s="28">
        <f>_Power/(_hr-_hs)</f>
        <v>96.700355949203555</v>
      </c>
      <c r="F17" s="29">
        <f>_Flow*(1+_ALmargin)</f>
        <v>101.53537374666374</v>
      </c>
      <c r="G17" s="11">
        <v>35</v>
      </c>
      <c r="H17" s="39">
        <f>K17+_atm</f>
        <v>3.5463750000000003</v>
      </c>
      <c r="I17" s="30">
        <f>[1]!hecalc(9,0,1,_ps*100000,2,_Ts/1,1)/1000</f>
        <v>196.82866513005004</v>
      </c>
      <c r="J17" s="13">
        <v>55</v>
      </c>
      <c r="K17" s="40">
        <f>2.5*_atm</f>
        <v>2.5331250000000001</v>
      </c>
      <c r="L17" s="30">
        <f>[1]!hecalc(9,0,1,_pr*100000,2,_Tr/1,1)/1000</f>
        <v>301.27502316936796</v>
      </c>
      <c r="N17" s="20">
        <f>IF(_Ts=_Tr,_Ts,(_Ts-_Tr)/LN(_Ts/_Tr))</f>
        <v>44.249243944961165</v>
      </c>
      <c r="O17" s="19">
        <f t="shared" ref="O17:P21" si="1">E17*(($I17-$L17)-300*($Q17-$R17))</f>
        <v>78833.206121755517</v>
      </c>
      <c r="P17" s="19">
        <f t="shared" si="1"/>
        <v>82774.866427843299</v>
      </c>
      <c r="Q17" s="18">
        <f>[1]!hecalc(8,0,1,_ps*100000,2,_Ts/1,1)/1000</f>
        <v>17.800190777067577</v>
      </c>
      <c r="R17" s="18">
        <f>[1]!hecalc(8,0,1,_pr*100000,2,_Tr/1,1)/1000</f>
        <v>20.865784667555147</v>
      </c>
    </row>
    <row r="18" spans="2:18" s="23" customFormat="1">
      <c r="B18" s="2" t="s">
        <v>16</v>
      </c>
      <c r="C18" s="21">
        <v>900</v>
      </c>
      <c r="D18" s="31">
        <f>_Power*(1+_ALmargin)</f>
        <v>945</v>
      </c>
      <c r="E18" s="42">
        <f>_Power/(_hr-_hs)</f>
        <v>28.408116294028559</v>
      </c>
      <c r="F18" s="32">
        <f>_Flow*(1+_ALmargin)</f>
        <v>29.828522108729988</v>
      </c>
      <c r="G18" s="12">
        <v>5.5</v>
      </c>
      <c r="H18" s="41">
        <f>3.2*_atm</f>
        <v>3.2423999999999999</v>
      </c>
      <c r="I18" s="33">
        <f>[1]!hecalc(9,0,1,_ps*100000,2,_Ts/1,1)/1000</f>
        <v>19.250800008443541</v>
      </c>
      <c r="J18" s="14">
        <v>7.5</v>
      </c>
      <c r="K18" s="41">
        <f>1.29*_atm</f>
        <v>1.3070925</v>
      </c>
      <c r="L18" s="33">
        <f>[1]!hecalc(9,0,1,_pr*100000,2,_Tr/1,1)/1000</f>
        <v>50.931886874072212</v>
      </c>
      <c r="N18" s="24">
        <f>IF(_Ts=_Tr,_Ts,(_Ts-_Tr)/LN(_Ts/_Tr))</f>
        <v>6.4483901994964388</v>
      </c>
      <c r="O18" s="26">
        <f t="shared" si="1"/>
        <v>55130.195888745948</v>
      </c>
      <c r="P18" s="26">
        <f t="shared" si="1"/>
        <v>57886.705683183245</v>
      </c>
      <c r="Q18" s="25">
        <f>[1]!hecalc(8,0,1,_ps*100000,2,_Ts/1,1)/1000</f>
        <v>5.0509406983530072</v>
      </c>
      <c r="R18" s="25">
        <f>[1]!hecalc(8,0,1,_pr*100000,2,_Tr/1,1)/1000</f>
        <v>11.625375894832825</v>
      </c>
    </row>
    <row r="19" spans="2:18">
      <c r="B19" s="2" t="s">
        <v>17</v>
      </c>
      <c r="C19" s="21">
        <v>0</v>
      </c>
      <c r="D19" s="31">
        <f>_Power*(1+_ALmargin)</f>
        <v>0</v>
      </c>
      <c r="E19" s="22">
        <f>_Power/(_hr-_hs)</f>
        <v>0</v>
      </c>
      <c r="F19" s="32">
        <f>_Flow*(1+_ALmargin)</f>
        <v>0</v>
      </c>
      <c r="G19" s="12">
        <v>4.5</v>
      </c>
      <c r="H19" s="41">
        <f>3.2*_atm</f>
        <v>3.2423999999999999</v>
      </c>
      <c r="I19" s="33">
        <f>[1]!hecalc(9,0,1,_ps*100000,2,_Ts/1,1)/1000</f>
        <v>11.848413826189979</v>
      </c>
      <c r="J19" s="51">
        <f>[1]!hecalc(2,0,1,_pr*100000,0,1,1)</f>
        <v>4.4495410194741067</v>
      </c>
      <c r="K19" s="41">
        <f>1.23*_atm</f>
        <v>1.2462975000000001</v>
      </c>
      <c r="L19" s="33">
        <f>[1]!hecalc(9,0,1,_pr*100000,0,1,1)/1000</f>
        <v>30.550925159594758</v>
      </c>
      <c r="N19" s="20">
        <f>IF(_Ts=_Tr,_Ts,(_Ts-_Tr)/LN(_Ts/_Tr))</f>
        <v>4.4747230933333082</v>
      </c>
      <c r="O19" s="19">
        <f t="shared" si="1"/>
        <v>0</v>
      </c>
      <c r="P19" s="19">
        <f t="shared" si="1"/>
        <v>0</v>
      </c>
      <c r="Q19" s="18">
        <f>[1]!hecalc(8,0,1,_ps*100000,2,_Ts/1,1)/1000</f>
        <v>3.5948081522381865</v>
      </c>
      <c r="R19" s="18">
        <f>[1]!hecalc(8,0,1,_pr*100000,0,1,1)/1000</f>
        <v>8.1441646518803132</v>
      </c>
    </row>
    <row r="20" spans="2:18">
      <c r="B20" s="2" t="s">
        <v>18</v>
      </c>
      <c r="C20" s="34">
        <f>_Flow*(_hr-_hs)</f>
        <v>0</v>
      </c>
      <c r="D20" s="31">
        <f>_Power*(1+_ALmargin)</f>
        <v>0</v>
      </c>
      <c r="E20" s="9">
        <v>0</v>
      </c>
      <c r="F20" s="32">
        <f>_Flow*(1+_ALmargin)</f>
        <v>0</v>
      </c>
      <c r="G20" s="12">
        <v>4.5</v>
      </c>
      <c r="H20" s="41">
        <f>3.2*_atm</f>
        <v>3.2423999999999999</v>
      </c>
      <c r="I20" s="33">
        <f>[1]!hecalc(9,0,1,_ps*100000,2,_Ts/1,1)/1000</f>
        <v>11.848413826189979</v>
      </c>
      <c r="J20" s="43">
        <v>300</v>
      </c>
      <c r="K20" s="41">
        <f>1.1*_atm</f>
        <v>1.1145750000000001</v>
      </c>
      <c r="L20" s="33">
        <f>[1]!hecalc(9,0,1,_pr*100000,2,_Tr/1,1)/1000</f>
        <v>1573.5515696893106</v>
      </c>
      <c r="N20" s="20">
        <f>IF(_Ts=_Tr,_Ts,(_Ts-_Tr)/LN(_Ts/_Tr))</f>
        <v>70.362083651162649</v>
      </c>
      <c r="O20" s="19">
        <f t="shared" si="1"/>
        <v>0</v>
      </c>
      <c r="P20" s="19">
        <f t="shared" si="1"/>
        <v>0</v>
      </c>
      <c r="Q20" s="18">
        <f>[1]!hecalc(8,0,1,_ps*100000,2,_Ts/1,1)/1000</f>
        <v>3.5948081522381865</v>
      </c>
      <c r="R20" s="18">
        <f>[1]!hecalc(8,0,1,_pr*100000,2,_Tr/1,1)/1000</f>
        <v>31.386381664668782</v>
      </c>
    </row>
    <row r="21" spans="2:18" ht="15.75" thickBot="1">
      <c r="B21" s="3" t="s">
        <v>19</v>
      </c>
      <c r="C21" s="34">
        <f>_Flow*(_hr-_hs)</f>
        <v>24965.830410887505</v>
      </c>
      <c r="D21" s="35">
        <f>_Power*(1+_ALmargin)</f>
        <v>26214.121931431881</v>
      </c>
      <c r="E21" s="10">
        <v>157</v>
      </c>
      <c r="F21" s="36">
        <f>_Flow*(1+_ALmargin)</f>
        <v>164.85</v>
      </c>
      <c r="G21" s="15">
        <v>4.5</v>
      </c>
      <c r="H21" s="16">
        <f>3.2*_atm</f>
        <v>3.2423999999999999</v>
      </c>
      <c r="I21" s="37">
        <f>[1]!hecalc(9,0,1,_ps*100000,2,_Ts/1,1)/1000</f>
        <v>11.848413826189979</v>
      </c>
      <c r="J21" s="15">
        <v>30</v>
      </c>
      <c r="K21" s="16">
        <f>1.2*_atm</f>
        <v>1.2159</v>
      </c>
      <c r="L21" s="37">
        <f>[1]!hecalc(9,0,1,_pr*100000,2,_Tr/1,1)/1000</f>
        <v>170.86644192101485</v>
      </c>
      <c r="N21" s="20">
        <f>IF(_Ts=_Tr,_Ts,(_Ts-_Tr)/LN(_Ts/_Tr))</f>
        <v>13.441427112230816</v>
      </c>
      <c r="O21" s="19">
        <f t="shared" si="1"/>
        <v>711713.14964033174</v>
      </c>
      <c r="P21" s="19">
        <f t="shared" si="1"/>
        <v>747298.80712234834</v>
      </c>
      <c r="Q21" s="18">
        <f>[1]!hecalc(8,0,1,_ps*100000,2,_Ts/1,1)/1000</f>
        <v>3.5948081522381865</v>
      </c>
      <c r="R21" s="18">
        <f>[1]!hecalc(8,0,1,_pr*100000,2,_Tr/1,1)/1000</f>
        <v>19.235550828484882</v>
      </c>
    </row>
    <row r="22" spans="2:18" ht="15.75" thickTop="1">
      <c r="B22" s="44"/>
      <c r="C22" s="45"/>
      <c r="D22" s="45"/>
      <c r="E22" s="46"/>
      <c r="F22" s="47"/>
      <c r="G22" s="48"/>
      <c r="H22" s="49"/>
      <c r="I22" s="50"/>
      <c r="J22" s="48"/>
      <c r="K22" s="49"/>
      <c r="L22" s="50"/>
      <c r="N22" s="53">
        <f t="array" ref="N22">SUM(N17:N21*O17:O21)/SUM(O17:O21)</f>
        <v>15.85742348305514</v>
      </c>
      <c r="O22" s="54">
        <f>SUM(O17:O21)/_WW</f>
        <v>12878.323121586292</v>
      </c>
      <c r="P22" s="54">
        <f>SUM(P17:P21)/_WW</f>
        <v>13522.239277665607</v>
      </c>
      <c r="Q22" s="18"/>
      <c r="R22" s="18"/>
    </row>
    <row r="24" spans="2:18">
      <c r="B24" s="63" t="s">
        <v>23</v>
      </c>
      <c r="C24" s="65" t="s">
        <v>0</v>
      </c>
      <c r="D24" s="61"/>
      <c r="E24" s="62" t="s">
        <v>3</v>
      </c>
      <c r="F24" s="66"/>
      <c r="G24" s="61" t="s">
        <v>7</v>
      </c>
      <c r="H24" s="61"/>
      <c r="I24" s="61"/>
      <c r="J24" s="62" t="s">
        <v>8</v>
      </c>
      <c r="K24" s="61"/>
      <c r="L24" s="61"/>
    </row>
    <row r="25" spans="2:18">
      <c r="B25" s="64"/>
      <c r="C25" s="5" t="s">
        <v>1</v>
      </c>
      <c r="D25" s="4" t="s">
        <v>2</v>
      </c>
      <c r="E25" s="7" t="s">
        <v>1</v>
      </c>
      <c r="F25" s="8" t="s">
        <v>2</v>
      </c>
      <c r="G25" s="4" t="s">
        <v>4</v>
      </c>
      <c r="H25" s="4" t="s">
        <v>5</v>
      </c>
      <c r="I25" s="4" t="s">
        <v>6</v>
      </c>
      <c r="J25" s="7" t="s">
        <v>4</v>
      </c>
      <c r="K25" s="4" t="s">
        <v>5</v>
      </c>
      <c r="L25" s="4" t="s">
        <v>6</v>
      </c>
      <c r="N25" s="1" t="s">
        <v>14</v>
      </c>
      <c r="O25" s="1" t="s">
        <v>13</v>
      </c>
      <c r="P25" s="1" t="s">
        <v>2</v>
      </c>
      <c r="Q25" s="1" t="s">
        <v>11</v>
      </c>
      <c r="R25" s="1" t="s">
        <v>12</v>
      </c>
    </row>
    <row r="26" spans="2:18">
      <c r="B26" s="6" t="s">
        <v>9</v>
      </c>
      <c r="C26" s="17">
        <v>10100</v>
      </c>
      <c r="D26" s="27">
        <f>_Power*(1+_ALmargin)</f>
        <v>10605</v>
      </c>
      <c r="E26" s="28">
        <f>_Power/(_hr-_hs)</f>
        <v>155.20636390091892</v>
      </c>
      <c r="F26" s="29">
        <f>_Flow*(1+_ALmargin)</f>
        <v>162.96668209596487</v>
      </c>
      <c r="G26" s="11">
        <v>44</v>
      </c>
      <c r="H26" s="39">
        <f>K26+_atm</f>
        <v>3.3437250000000001</v>
      </c>
      <c r="I26" s="30">
        <f>[1]!hecalc(9,0,1,_ps*100000,2,_Ts/1,1)/1000</f>
        <v>243.98006990017637</v>
      </c>
      <c r="J26" s="13">
        <v>56.5</v>
      </c>
      <c r="K26" s="40">
        <f>2.3*_atm</f>
        <v>2.3304749999999999</v>
      </c>
      <c r="L26" s="30">
        <f>[1]!hecalc(9,0,1,_pr*100000,2,_Tr/1,1)/1000</f>
        <v>309.05472113321258</v>
      </c>
      <c r="N26" s="20">
        <f>IF(_Ts=_Tr,_Ts,(_Ts-_Tr)/LN(_Ts/_Tr))</f>
        <v>49.989801233894191</v>
      </c>
      <c r="O26" s="19">
        <f t="shared" ref="O26:P30" si="2">E26*(($I26-$L26)-300*($Q26-$R26))</f>
        <v>85676.187670389467</v>
      </c>
      <c r="P26" s="19">
        <f t="shared" si="2"/>
        <v>89959.997053908941</v>
      </c>
      <c r="Q26" s="18">
        <f>[1]!hecalc(8,0,1,_ps*100000,2,_Ts/1,1)/1000</f>
        <v>19.122553991840395</v>
      </c>
      <c r="R26" s="18">
        <f>[1]!hecalc(8,0,1,_pr*100000,2,_Tr/1,1)/1000</f>
        <v>21.179518351272876</v>
      </c>
    </row>
    <row r="27" spans="2:18" s="23" customFormat="1">
      <c r="B27" s="2" t="s">
        <v>16</v>
      </c>
      <c r="C27" s="21">
        <v>900</v>
      </c>
      <c r="D27" s="31">
        <f>_Power*(1+_ALmargin)</f>
        <v>945</v>
      </c>
      <c r="E27" s="42">
        <f>_Power/(_hr-_hs)</f>
        <v>20.92294373213501</v>
      </c>
      <c r="F27" s="32">
        <f>_Flow*(1+_ALmargin)</f>
        <v>21.969090918741763</v>
      </c>
      <c r="G27" s="12">
        <v>5.8</v>
      </c>
      <c r="H27" s="41">
        <f>3.2*_atm</f>
        <v>3.2423999999999999</v>
      </c>
      <c r="I27" s="33">
        <f>[1]!hecalc(9,0,1,_ps*100000,2,_Ts/1,1)/1000</f>
        <v>26.453256626271571</v>
      </c>
      <c r="J27" s="14">
        <v>10.8</v>
      </c>
      <c r="K27" s="41">
        <f>1.23*_atm</f>
        <v>1.2462975000000001</v>
      </c>
      <c r="L27" s="33">
        <f>[1]!hecalc(9,0,1,_pr*100000,2,_Tr/1,1)/1000</f>
        <v>69.468236330953999</v>
      </c>
      <c r="N27" s="24">
        <f>IF(_Ts=_Tr,_Ts,(_Ts-_Tr)/LN(_Ts/_Tr))</f>
        <v>8.0426166471731442</v>
      </c>
      <c r="O27" s="26">
        <f t="shared" si="2"/>
        <v>45850.756560294925</v>
      </c>
      <c r="P27" s="26">
        <f t="shared" si="2"/>
        <v>48143.294388309681</v>
      </c>
      <c r="Q27" s="25">
        <f>[1]!hecalc(8,0,1,_ps*100000,2,_Ts/1,1)/1000</f>
        <v>6.3238311579353299</v>
      </c>
      <c r="R27" s="25">
        <f>[1]!hecalc(8,0,1,_pr*100000,2,_Tr/1,1)/1000</f>
        <v>13.771915767637683</v>
      </c>
    </row>
    <row r="28" spans="2:18">
      <c r="B28" s="2" t="s">
        <v>17</v>
      </c>
      <c r="C28" s="34">
        <f>_Flow*(_hr-_hs)</f>
        <v>0</v>
      </c>
      <c r="D28" s="31">
        <f>_Power*(1+_ALmargin)</f>
        <v>0</v>
      </c>
      <c r="E28" s="9">
        <v>0</v>
      </c>
      <c r="F28" s="32">
        <f>_Flow*(1+_ALmargin)</f>
        <v>0</v>
      </c>
      <c r="G28" s="12">
        <v>4.5</v>
      </c>
      <c r="H28" s="41">
        <f>3.2*_atm</f>
        <v>3.2423999999999999</v>
      </c>
      <c r="I28" s="33">
        <f>[1]!hecalc(9,0,1,_ps*100000,2,_Ts/1,1)/1000</f>
        <v>11.848413826189979</v>
      </c>
      <c r="J28" s="51">
        <f>[1]!hecalc(2,0,1,_pr*100000,0,1,1)</f>
        <v>4.4495410194741067</v>
      </c>
      <c r="K28" s="41">
        <f>1.23*_atm</f>
        <v>1.2462975000000001</v>
      </c>
      <c r="L28" s="33">
        <f>[1]!hecalc(9,0,1,_pr*100000,0,1,1)/1000</f>
        <v>30.550925159594758</v>
      </c>
      <c r="N28" s="20">
        <f>IF(_Ts=_Tr,_Ts,(_Ts-_Tr)/LN(_Ts/_Tr))</f>
        <v>4.4747230933333082</v>
      </c>
      <c r="O28" s="19">
        <f t="shared" si="2"/>
        <v>0</v>
      </c>
      <c r="P28" s="19">
        <f t="shared" si="2"/>
        <v>0</v>
      </c>
      <c r="Q28" s="18">
        <f>[1]!hecalc(8,0,1,_ps*100000,2,_Ts/1,1)/1000</f>
        <v>3.5948081522381865</v>
      </c>
      <c r="R28" s="18">
        <f>[1]!hecalc(8,0,1,_pr*100000,0,1,1)/1000</f>
        <v>8.1441646518803132</v>
      </c>
    </row>
    <row r="29" spans="2:18">
      <c r="B29" s="2" t="s">
        <v>18</v>
      </c>
      <c r="C29" s="34">
        <f>_Flow*(_hr-_hs)</f>
        <v>218638.44182083689</v>
      </c>
      <c r="D29" s="31">
        <f>_Power*(1+_ALmargin)</f>
        <v>229570.36391187875</v>
      </c>
      <c r="E29" s="9">
        <v>140</v>
      </c>
      <c r="F29" s="32">
        <f>_Flow*(1+_ALmargin)</f>
        <v>147</v>
      </c>
      <c r="G29" s="12">
        <v>4.5</v>
      </c>
      <c r="H29" s="41">
        <f>3.2*_atm</f>
        <v>3.2423999999999999</v>
      </c>
      <c r="I29" s="33">
        <f>[1]!hecalc(9,0,1,_ps*100000,2,_Ts/1,1)/1000</f>
        <v>11.848413826189979</v>
      </c>
      <c r="J29" s="43">
        <v>300</v>
      </c>
      <c r="K29" s="41">
        <f>1.1*_atm</f>
        <v>1.1145750000000001</v>
      </c>
      <c r="L29" s="33">
        <f>[1]!hecalc(9,0,1,_pr*100000,2,_Tr/1,1)/1000</f>
        <v>1573.5515696893106</v>
      </c>
      <c r="N29" s="20">
        <f>IF(_Ts=_Tr,_Ts,(_Ts-_Tr)/LN(_Ts/_Tr))</f>
        <v>70.362083651162649</v>
      </c>
      <c r="O29" s="19">
        <f t="shared" si="2"/>
        <v>948607.64570124797</v>
      </c>
      <c r="P29" s="19">
        <f t="shared" si="2"/>
        <v>996038.02798631042</v>
      </c>
      <c r="Q29" s="18">
        <f>[1]!hecalc(8,0,1,_ps*100000,2,_Ts/1,1)/1000</f>
        <v>3.5948081522381865</v>
      </c>
      <c r="R29" s="18">
        <f>[1]!hecalc(8,0,1,_pr*100000,2,_Tr/1,1)/1000</f>
        <v>31.386381664668782</v>
      </c>
    </row>
    <row r="30" spans="2:18" ht="15.75" thickBot="1">
      <c r="B30" s="3" t="s">
        <v>19</v>
      </c>
      <c r="C30" s="34">
        <f>_Flow*(_hr-_hs)</f>
        <v>0</v>
      </c>
      <c r="D30" s="35">
        <f>_Power*(1+_ALmargin)</f>
        <v>0</v>
      </c>
      <c r="E30" s="10">
        <v>0</v>
      </c>
      <c r="F30" s="36">
        <f>_Flow*(1+_ALmargin)</f>
        <v>0</v>
      </c>
      <c r="G30" s="15">
        <v>4.5</v>
      </c>
      <c r="H30" s="16">
        <f>3.2*_atm</f>
        <v>3.2423999999999999</v>
      </c>
      <c r="I30" s="37">
        <f>[1]!hecalc(9,0,1,_ps*100000,2,_Ts/1,1)/1000</f>
        <v>11.848413826189979</v>
      </c>
      <c r="J30" s="15">
        <v>30</v>
      </c>
      <c r="K30" s="16">
        <f>1.2*_atm</f>
        <v>1.2159</v>
      </c>
      <c r="L30" s="37">
        <f>[1]!hecalc(9,0,1,_pr*100000,2,_Tr/1,1)/1000</f>
        <v>170.86644192101485</v>
      </c>
      <c r="N30" s="20">
        <f>IF(_Ts=_Tr,_Ts,(_Ts-_Tr)/LN(_Ts/_Tr))</f>
        <v>13.441427112230816</v>
      </c>
      <c r="O30" s="19">
        <f t="shared" si="2"/>
        <v>0</v>
      </c>
      <c r="P30" s="19">
        <f t="shared" si="2"/>
        <v>0</v>
      </c>
      <c r="Q30" s="18">
        <f>[1]!hecalc(8,0,1,_ps*100000,2,_Ts/1,1)/1000</f>
        <v>3.5948081522381865</v>
      </c>
      <c r="R30" s="18">
        <f>[1]!hecalc(8,0,1,_pr*100000,2,_Tr/1,1)/1000</f>
        <v>19.235550828484882</v>
      </c>
    </row>
    <row r="31" spans="2:18" ht="15.75" thickTop="1">
      <c r="B31" s="44"/>
      <c r="C31" s="45"/>
      <c r="D31" s="45"/>
      <c r="E31" s="46"/>
      <c r="F31" s="47"/>
      <c r="G31" s="48"/>
      <c r="H31" s="49"/>
      <c r="I31" s="50"/>
      <c r="J31" s="48"/>
      <c r="K31" s="49"/>
      <c r="L31" s="50"/>
      <c r="N31" s="53">
        <f t="array" ref="N31">SUM(N26:N30*O26:O30)/SUM(O26:O30)</f>
        <v>66.100749697850986</v>
      </c>
      <c r="O31" s="54">
        <f>SUM(O26:O30)/_WW</f>
        <v>16448.750100486279</v>
      </c>
      <c r="P31" s="54">
        <f>SUM(P26:P30)/_WW</f>
        <v>17271.187605510593</v>
      </c>
      <c r="Q31" s="18"/>
      <c r="R31" s="18"/>
    </row>
    <row r="33" spans="2:18">
      <c r="B33" s="63" t="s">
        <v>24</v>
      </c>
      <c r="C33" s="65" t="s">
        <v>0</v>
      </c>
      <c r="D33" s="61"/>
      <c r="E33" s="62" t="s">
        <v>3</v>
      </c>
      <c r="F33" s="66"/>
      <c r="G33" s="61" t="s">
        <v>7</v>
      </c>
      <c r="H33" s="61"/>
      <c r="I33" s="61"/>
      <c r="J33" s="62" t="s">
        <v>8</v>
      </c>
      <c r="K33" s="61"/>
      <c r="L33" s="61"/>
    </row>
    <row r="34" spans="2:18">
      <c r="B34" s="64"/>
      <c r="C34" s="5" t="s">
        <v>1</v>
      </c>
      <c r="D34" s="4" t="s">
        <v>2</v>
      </c>
      <c r="E34" s="7" t="s">
        <v>1</v>
      </c>
      <c r="F34" s="8" t="s">
        <v>2</v>
      </c>
      <c r="G34" s="4" t="s">
        <v>4</v>
      </c>
      <c r="H34" s="4" t="s">
        <v>5</v>
      </c>
      <c r="I34" s="4" t="s">
        <v>6</v>
      </c>
      <c r="J34" s="7" t="s">
        <v>4</v>
      </c>
      <c r="K34" s="4" t="s">
        <v>5</v>
      </c>
      <c r="L34" s="4" t="s">
        <v>6</v>
      </c>
      <c r="N34" s="1" t="s">
        <v>14</v>
      </c>
      <c r="O34" s="1" t="s">
        <v>13</v>
      </c>
      <c r="P34" s="1" t="s">
        <v>2</v>
      </c>
      <c r="Q34" s="1" t="s">
        <v>11</v>
      </c>
      <c r="R34" s="1" t="s">
        <v>12</v>
      </c>
    </row>
    <row r="35" spans="2:18">
      <c r="B35" s="6" t="s">
        <v>9</v>
      </c>
      <c r="C35" s="17">
        <v>15200</v>
      </c>
      <c r="D35" s="27">
        <f>_Power*(1+_ALmargin)</f>
        <v>15960</v>
      </c>
      <c r="E35" s="28">
        <f>_Power/(_hr-_hs)</f>
        <v>145.52924855721722</v>
      </c>
      <c r="F35" s="29">
        <f>_Flow*(1+_ALmargin)</f>
        <v>152.80571098507809</v>
      </c>
      <c r="G35" s="11">
        <v>35</v>
      </c>
      <c r="H35" s="39">
        <f>K35+_atm</f>
        <v>3.5463750000000003</v>
      </c>
      <c r="I35" s="30">
        <f>[1]!hecalc(9,0,1,_ps*100000,2,_Ts/1,1)/1000</f>
        <v>196.82866513005004</v>
      </c>
      <c r="J35" s="13">
        <v>55</v>
      </c>
      <c r="K35" s="40">
        <f>2.5*_atm</f>
        <v>2.5331250000000001</v>
      </c>
      <c r="L35" s="30">
        <f>[1]!hecalc(9,0,1,_pr*100000,2,_Tr/1,1)/1000</f>
        <v>301.27502316936796</v>
      </c>
      <c r="N35" s="20">
        <f>IF(_Ts=_Tr,_Ts,(_Ts-_Tr)/LN(_Ts/_Tr))</f>
        <v>44.249243944961165</v>
      </c>
      <c r="O35" s="19">
        <f t="shared" ref="O35:P39" si="3">E35*(($I35-$L35)-300*($Q35-$R35))</f>
        <v>118640.07257927561</v>
      </c>
      <c r="P35" s="19">
        <f t="shared" si="3"/>
        <v>124572.07620823941</v>
      </c>
      <c r="Q35" s="18">
        <f>[1]!hecalc(8,0,1,_ps*100000,2,_Ts/1,1)/1000</f>
        <v>17.800190777067577</v>
      </c>
      <c r="R35" s="18">
        <f>[1]!hecalc(8,0,1,_pr*100000,2,_Tr/1,1)/1000</f>
        <v>20.865784667555147</v>
      </c>
    </row>
    <row r="36" spans="2:18" s="23" customFormat="1">
      <c r="B36" s="2" t="s">
        <v>16</v>
      </c>
      <c r="C36" s="21">
        <v>1300</v>
      </c>
      <c r="D36" s="31">
        <f>_Power*(1+_ALmargin)</f>
        <v>1365</v>
      </c>
      <c r="E36" s="22">
        <f>_Power/(_hr-_hs)</f>
        <v>30.393079122677378</v>
      </c>
      <c r="F36" s="32">
        <f>_Flow*(1+_ALmargin)</f>
        <v>31.912733078811247</v>
      </c>
      <c r="G36" s="12">
        <v>5.3</v>
      </c>
      <c r="H36" s="41">
        <f>3.2*_atm</f>
        <v>3.2423999999999999</v>
      </c>
      <c r="I36" s="33">
        <f>[1]!hecalc(9,0,1,_ps*100000,2,_Ts/1,1)/1000</f>
        <v>16.801396656109151</v>
      </c>
      <c r="J36" s="14">
        <v>9</v>
      </c>
      <c r="K36" s="41">
        <f>1.23*_atm</f>
        <v>1.2462975000000001</v>
      </c>
      <c r="L36" s="33">
        <f>[1]!hecalc(9,0,1,_pr*100000,2,_Tr/1,1)/1000</f>
        <v>59.574292247001182</v>
      </c>
      <c r="N36" s="24">
        <f>IF(_Ts=_Tr,_Ts,(_Ts-_Tr)/LN(_Ts/_Tr))</f>
        <v>6.9874899427597903</v>
      </c>
      <c r="O36" s="26">
        <f t="shared" si="3"/>
        <v>73205.998768072823</v>
      </c>
      <c r="P36" s="26">
        <f t="shared" si="3"/>
        <v>76866.29870647646</v>
      </c>
      <c r="Q36" s="25">
        <f>[1]!hecalc(8,0,1,_ps*100000,2,_Ts/1,1)/1000</f>
        <v>4.5980468279899469</v>
      </c>
      <c r="R36" s="25">
        <f>[1]!hecalc(8,0,1,_pr*100000,2,_Tr/1,1)/1000</f>
        <v>12.769424536199971</v>
      </c>
    </row>
    <row r="37" spans="2:18">
      <c r="B37" s="2" t="s">
        <v>17</v>
      </c>
      <c r="C37" s="34">
        <f>_Flow*(_hr-_hs)</f>
        <v>8995.9079513676988</v>
      </c>
      <c r="D37" s="31">
        <f>_Power*(1+_ALmargin)</f>
        <v>9445.7033489360838</v>
      </c>
      <c r="E37" s="9">
        <v>481</v>
      </c>
      <c r="F37" s="32">
        <f>_Flow*(1+_ALmargin)</f>
        <v>505.05</v>
      </c>
      <c r="G37" s="12">
        <v>4.5</v>
      </c>
      <c r="H37" s="41">
        <f>3.2*_atm</f>
        <v>3.2423999999999999</v>
      </c>
      <c r="I37" s="33">
        <f>[1]!hecalc(9,0,1,_ps*100000,2,_Ts/1,1)/1000</f>
        <v>11.848413826189979</v>
      </c>
      <c r="J37" s="51">
        <f>[1]!hecalc(2,0,1,_pr*100000,0,1,1)</f>
        <v>4.4495410194741067</v>
      </c>
      <c r="K37" s="41">
        <f>1.23*_atm</f>
        <v>1.2462975000000001</v>
      </c>
      <c r="L37" s="33">
        <f>[1]!hecalc(9,0,1,_pr*100000,0,1,1)/1000</f>
        <v>30.550925159594758</v>
      </c>
      <c r="N37" s="20">
        <f>IF(_Ts=_Tr,_Ts,(_Ts-_Tr)/LN(_Ts/_Tr))</f>
        <v>4.4747230933333082</v>
      </c>
      <c r="O37" s="19">
        <f t="shared" si="3"/>
        <v>647476.23494699108</v>
      </c>
      <c r="P37" s="19">
        <f t="shared" si="3"/>
        <v>679850.04669434065</v>
      </c>
      <c r="Q37" s="18">
        <f>[1]!hecalc(8,0,1,_ps*100000,2,_Ts/1,1)/1000</f>
        <v>3.5948081522381865</v>
      </c>
      <c r="R37" s="18">
        <f>[1]!hecalc(8,0,1,_pr*100000,0,1,1)/1000</f>
        <v>8.1441646518803132</v>
      </c>
    </row>
    <row r="38" spans="2:18">
      <c r="B38" s="2" t="s">
        <v>18</v>
      </c>
      <c r="C38" s="34">
        <f>_Flow*(_hr-_hs)</f>
        <v>0</v>
      </c>
      <c r="D38" s="31">
        <f>_Power*(1+_ALmargin)</f>
        <v>0</v>
      </c>
      <c r="E38" s="9">
        <v>0</v>
      </c>
      <c r="F38" s="32">
        <f>_Flow*(1+_ALmargin)</f>
        <v>0</v>
      </c>
      <c r="G38" s="12">
        <v>4.5</v>
      </c>
      <c r="H38" s="41">
        <f>3.2*_atm</f>
        <v>3.2423999999999999</v>
      </c>
      <c r="I38" s="33">
        <f>[1]!hecalc(9,0,1,_ps*100000,2,_Ts/1,1)/1000</f>
        <v>11.848413826189979</v>
      </c>
      <c r="J38" s="43">
        <v>300</v>
      </c>
      <c r="K38" s="41">
        <f>1.1*_atm</f>
        <v>1.1145750000000001</v>
      </c>
      <c r="L38" s="33">
        <f>[1]!hecalc(9,0,1,_pr*100000,2,_Tr/1,1)/1000</f>
        <v>1573.5515696893106</v>
      </c>
      <c r="N38" s="20">
        <f>IF(_Ts=_Tr,_Ts,(_Ts-_Tr)/LN(_Ts/_Tr))</f>
        <v>70.362083651162649</v>
      </c>
      <c r="O38" s="19">
        <f t="shared" si="3"/>
        <v>0</v>
      </c>
      <c r="P38" s="19">
        <f t="shared" si="3"/>
        <v>0</v>
      </c>
      <c r="Q38" s="18">
        <f>[1]!hecalc(8,0,1,_ps*100000,2,_Ts/1,1)/1000</f>
        <v>3.5948081522381865</v>
      </c>
      <c r="R38" s="18">
        <f>[1]!hecalc(8,0,1,_pr*100000,2,_Tr/1,1)/1000</f>
        <v>31.386381664668782</v>
      </c>
    </row>
    <row r="39" spans="2:18" ht="15.75" thickBot="1">
      <c r="B39" s="3" t="s">
        <v>19</v>
      </c>
      <c r="C39" s="34">
        <f>_Flow*(_hr-_hs)</f>
        <v>0</v>
      </c>
      <c r="D39" s="35">
        <f>_Power*(1+_ALmargin)</f>
        <v>0</v>
      </c>
      <c r="E39" s="10">
        <v>0</v>
      </c>
      <c r="F39" s="36">
        <f>_Flow*(1+_ALmargin)</f>
        <v>0</v>
      </c>
      <c r="G39" s="15">
        <v>4.5</v>
      </c>
      <c r="H39" s="16">
        <f>3.2*_atm</f>
        <v>3.2423999999999999</v>
      </c>
      <c r="I39" s="37">
        <f>[1]!hecalc(9,0,1,_ps*100000,2,_Ts/1,1)/1000</f>
        <v>11.848413826189979</v>
      </c>
      <c r="J39" s="15">
        <v>30</v>
      </c>
      <c r="K39" s="16">
        <f>1.2*_atm</f>
        <v>1.2159</v>
      </c>
      <c r="L39" s="37">
        <f>[1]!hecalc(9,0,1,_pr*100000,2,_Tr/1,1)/1000</f>
        <v>170.86644192101485</v>
      </c>
      <c r="N39" s="20">
        <f>IF(_Ts=_Tr,_Ts,(_Ts-_Tr)/LN(_Ts/_Tr))</f>
        <v>13.441427112230816</v>
      </c>
      <c r="O39" s="19">
        <f t="shared" si="3"/>
        <v>0</v>
      </c>
      <c r="P39" s="19">
        <f t="shared" si="3"/>
        <v>0</v>
      </c>
      <c r="Q39" s="18">
        <f>[1]!hecalc(8,0,1,_ps*100000,2,_Ts/1,1)/1000</f>
        <v>3.5948081522381865</v>
      </c>
      <c r="R39" s="18">
        <f>[1]!hecalc(8,0,1,_pr*100000,2,_Tr/1,1)/1000</f>
        <v>19.235550828484882</v>
      </c>
    </row>
    <row r="40" spans="2:18" ht="15.75" thickTop="1">
      <c r="B40" s="44"/>
      <c r="C40" s="45"/>
      <c r="D40" s="45"/>
      <c r="E40" s="46"/>
      <c r="F40" s="47"/>
      <c r="G40" s="48"/>
      <c r="H40" s="49"/>
      <c r="I40" s="50"/>
      <c r="J40" s="48"/>
      <c r="K40" s="49"/>
      <c r="L40" s="50"/>
      <c r="N40" s="53">
        <f t="array" ref="N40">SUM(N35:N39*O35:O39)/SUM(O35:O39)</f>
        <v>10.316104420576696</v>
      </c>
      <c r="O40" s="54">
        <f>SUM(O35:O39)/_WW</f>
        <v>12781.557963873189</v>
      </c>
      <c r="P40" s="54">
        <f>SUM(P35:P39)/_WW</f>
        <v>13420.635862066849</v>
      </c>
      <c r="Q40" s="18"/>
      <c r="R40" s="18"/>
    </row>
    <row r="42" spans="2:18">
      <c r="B42" s="63" t="s">
        <v>25</v>
      </c>
      <c r="C42" s="65" t="s">
        <v>0</v>
      </c>
      <c r="D42" s="61"/>
      <c r="E42" s="62" t="s">
        <v>3</v>
      </c>
      <c r="F42" s="66"/>
      <c r="G42" s="61" t="s">
        <v>7</v>
      </c>
      <c r="H42" s="61"/>
      <c r="I42" s="61"/>
      <c r="J42" s="62" t="s">
        <v>8</v>
      </c>
      <c r="K42" s="61"/>
      <c r="L42" s="61"/>
    </row>
    <row r="43" spans="2:18">
      <c r="B43" s="64"/>
      <c r="C43" s="5" t="s">
        <v>1</v>
      </c>
      <c r="D43" s="4" t="s">
        <v>2</v>
      </c>
      <c r="E43" s="7" t="s">
        <v>1</v>
      </c>
      <c r="F43" s="8" t="s">
        <v>2</v>
      </c>
      <c r="G43" s="4" t="s">
        <v>4</v>
      </c>
      <c r="H43" s="4" t="s">
        <v>5</v>
      </c>
      <c r="I43" s="4" t="s">
        <v>6</v>
      </c>
      <c r="J43" s="7" t="s">
        <v>4</v>
      </c>
      <c r="K43" s="4" t="s">
        <v>5</v>
      </c>
      <c r="L43" s="4" t="s">
        <v>6</v>
      </c>
      <c r="N43" s="1" t="s">
        <v>14</v>
      </c>
      <c r="O43" s="1" t="s">
        <v>13</v>
      </c>
      <c r="P43" s="1" t="s">
        <v>2</v>
      </c>
      <c r="Q43" s="1" t="s">
        <v>11</v>
      </c>
      <c r="R43" s="1" t="s">
        <v>12</v>
      </c>
    </row>
    <row r="44" spans="2:18">
      <c r="B44" s="6" t="s">
        <v>9</v>
      </c>
      <c r="C44" s="17">
        <v>15200</v>
      </c>
      <c r="D44" s="27">
        <f>_Power*(1+_ALmargin)</f>
        <v>15960</v>
      </c>
      <c r="E44" s="28">
        <f>_Power/(_hr-_hs)</f>
        <v>145.47167367908034</v>
      </c>
      <c r="F44" s="29">
        <f>_Flow*(1+_ALmargin)</f>
        <v>152.74525736303437</v>
      </c>
      <c r="G44" s="11">
        <v>35</v>
      </c>
      <c r="H44" s="39">
        <f>K44+_atm</f>
        <v>3.7490250000000005</v>
      </c>
      <c r="I44" s="30">
        <f>[1]!hecalc(9,0,1,_ps*100000,2,_Ts/1,1)/1000</f>
        <v>196.81814695603165</v>
      </c>
      <c r="J44" s="13">
        <v>55</v>
      </c>
      <c r="K44" s="40">
        <f>2.7*_atm</f>
        <v>2.7357750000000003</v>
      </c>
      <c r="L44" s="30">
        <f>[1]!hecalc(9,0,1,_pr*100000,2,_Tr/1,1)/1000</f>
        <v>301.30584284610683</v>
      </c>
      <c r="N44" s="20">
        <f>IF(_Ts=_Tr,_Ts,(_Ts-_Tr)/LN(_Ts/_Tr))</f>
        <v>44.249243944961165</v>
      </c>
      <c r="O44" s="19">
        <f t="shared" ref="O44:P48" si="4">E44*(($I44-$L44)-300*($Q44-$R44))</f>
        <v>116690.31445230707</v>
      </c>
      <c r="P44" s="19">
        <f t="shared" si="4"/>
        <v>122524.83017492243</v>
      </c>
      <c r="Q44" s="18">
        <f>[1]!hecalc(8,0,1,_ps*100000,2,_Ts/1,1)/1000</f>
        <v>17.683364923009744</v>
      </c>
      <c r="R44" s="18">
        <f>[1]!hecalc(8,0,1,_pr*100000,2,_Tr/1,1)/1000</f>
        <v>20.70549542023322</v>
      </c>
    </row>
    <row r="45" spans="2:18" s="23" customFormat="1">
      <c r="B45" s="2" t="s">
        <v>16</v>
      </c>
      <c r="C45" s="21">
        <v>1300</v>
      </c>
      <c r="D45" s="31">
        <f>_Power*(1+_ALmargin)</f>
        <v>1365</v>
      </c>
      <c r="E45" s="42">
        <f>_Power/(_hr-_hs)</f>
        <v>36.097355522332656</v>
      </c>
      <c r="F45" s="32">
        <f>_Flow*(1+_ALmargin)</f>
        <v>37.902223298449293</v>
      </c>
      <c r="G45" s="12">
        <v>5.3</v>
      </c>
      <c r="H45" s="41">
        <f>3.2*_atm</f>
        <v>3.2423999999999999</v>
      </c>
      <c r="I45" s="33">
        <f>[1]!hecalc(9,0,1,_ps*100000,2,_Ts/1,1)/1000</f>
        <v>16.801396656109151</v>
      </c>
      <c r="J45" s="14">
        <v>7.8</v>
      </c>
      <c r="K45" s="41">
        <f>1.23*_atm</f>
        <v>1.2462975000000001</v>
      </c>
      <c r="L45" s="33">
        <f>[1]!hecalc(9,0,1,_pr*100000,2,_Tr/1,1)/1000</f>
        <v>52.81511514570095</v>
      </c>
      <c r="N45" s="24">
        <f>IF(_Ts=_Tr,_Ts,(_Ts-_Tr)/LN(_Ts/_Tr))</f>
        <v>6.4696961106115243</v>
      </c>
      <c r="O45" s="26">
        <f t="shared" si="4"/>
        <v>78458.024008191482</v>
      </c>
      <c r="P45" s="26">
        <f t="shared" si="4"/>
        <v>82380.925208601067</v>
      </c>
      <c r="Q45" s="25">
        <f>[1]!hecalc(8,0,1,_ps*100000,2,_Ts/1,1)/1000</f>
        <v>4.5980468279899469</v>
      </c>
      <c r="R45" s="25">
        <f>[1]!hecalc(8,0,1,_pr*100000,2,_Tr/1,1)/1000</f>
        <v>11.96313150470049</v>
      </c>
    </row>
    <row r="46" spans="2:18">
      <c r="B46" s="2" t="s">
        <v>17</v>
      </c>
      <c r="C46" s="21">
        <v>0</v>
      </c>
      <c r="D46" s="31">
        <f>_Power*(1+_ALmargin)</f>
        <v>0</v>
      </c>
      <c r="E46" s="22">
        <f>_Power/(_hr-_hs)</f>
        <v>0</v>
      </c>
      <c r="F46" s="32">
        <f>_Flow*(1+_ALmargin)</f>
        <v>0</v>
      </c>
      <c r="G46" s="12">
        <v>4.5</v>
      </c>
      <c r="H46" s="41">
        <f>3.2*_atm</f>
        <v>3.2423999999999999</v>
      </c>
      <c r="I46" s="33">
        <f>[1]!hecalc(9,0,1,_ps*100000,2,_Ts/1,1)/1000</f>
        <v>11.848413826189979</v>
      </c>
      <c r="J46" s="51">
        <f>[1]!hecalc(2,0,1,_pr*100000,0,1,1)</f>
        <v>4.4495410194741067</v>
      </c>
      <c r="K46" s="41">
        <f>1.23*_atm</f>
        <v>1.2462975000000001</v>
      </c>
      <c r="L46" s="33">
        <f>[1]!hecalc(9,0,1,_pr*100000,0,1,1)/1000</f>
        <v>30.550925159594758</v>
      </c>
      <c r="N46" s="20">
        <f>IF(_Ts=_Tr,_Ts,(_Ts-_Tr)/LN(_Ts/_Tr))</f>
        <v>4.4747230933333082</v>
      </c>
      <c r="O46" s="19">
        <f t="shared" si="4"/>
        <v>0</v>
      </c>
      <c r="P46" s="19">
        <f t="shared" si="4"/>
        <v>0</v>
      </c>
      <c r="Q46" s="18">
        <f>[1]!hecalc(8,0,1,_ps*100000,2,_Ts/1,1)/1000</f>
        <v>3.5948081522381865</v>
      </c>
      <c r="R46" s="18">
        <f>[1]!hecalc(8,0,1,_pr*100000,0,1,1)/1000</f>
        <v>8.1441646518803132</v>
      </c>
    </row>
    <row r="47" spans="2:18">
      <c r="B47" s="2" t="s">
        <v>18</v>
      </c>
      <c r="C47" s="34">
        <f>_Flow*(_hr-_hs)</f>
        <v>70276.642013840436</v>
      </c>
      <c r="D47" s="31">
        <f>_Power*(1+_ALmargin)</f>
        <v>73790.474114532466</v>
      </c>
      <c r="E47" s="9">
        <v>45</v>
      </c>
      <c r="F47" s="32">
        <f>_Flow*(1+_ALmargin)</f>
        <v>47.25</v>
      </c>
      <c r="G47" s="12">
        <v>4.5</v>
      </c>
      <c r="H47" s="41">
        <f>3.2*_atm</f>
        <v>3.2423999999999999</v>
      </c>
      <c r="I47" s="33">
        <f>[1]!hecalc(9,0,1,_ps*100000,2,_Ts/1,1)/1000</f>
        <v>11.848413826189979</v>
      </c>
      <c r="J47" s="43">
        <v>300</v>
      </c>
      <c r="K47" s="41">
        <f>1.1*_atm</f>
        <v>1.1145750000000001</v>
      </c>
      <c r="L47" s="33">
        <f>[1]!hecalc(9,0,1,_pr*100000,2,_Tr/1,1)/1000</f>
        <v>1573.5515696893106</v>
      </c>
      <c r="N47" s="20">
        <f>IF(_Ts=_Tr,_Ts,(_Ts-_Tr)/LN(_Ts/_Tr))</f>
        <v>70.362083651162649</v>
      </c>
      <c r="O47" s="19">
        <f t="shared" si="4"/>
        <v>304909.60040397255</v>
      </c>
      <c r="P47" s="19">
        <f t="shared" si="4"/>
        <v>320155.08042417117</v>
      </c>
      <c r="Q47" s="18">
        <f>[1]!hecalc(8,0,1,_ps*100000,2,_Ts/1,1)/1000</f>
        <v>3.5948081522381865</v>
      </c>
      <c r="R47" s="18">
        <f>[1]!hecalc(8,0,1,_pr*100000,2,_Tr/1,1)/1000</f>
        <v>31.386381664668782</v>
      </c>
    </row>
    <row r="48" spans="2:18" ht="15.75" thickBot="1">
      <c r="B48" s="3" t="s">
        <v>19</v>
      </c>
      <c r="C48" s="34">
        <f>_Flow*(_hr-_hs)</f>
        <v>24965.830410887505</v>
      </c>
      <c r="D48" s="35">
        <f>_Power*(1+_ALmargin)</f>
        <v>26214.121931431881</v>
      </c>
      <c r="E48" s="10">
        <v>157</v>
      </c>
      <c r="F48" s="36">
        <f>_Flow*(1+_ALmargin)</f>
        <v>164.85</v>
      </c>
      <c r="G48" s="15">
        <v>4.5</v>
      </c>
      <c r="H48" s="16">
        <f>3.2*_atm</f>
        <v>3.2423999999999999</v>
      </c>
      <c r="I48" s="37">
        <f>[1]!hecalc(9,0,1,_ps*100000,2,_Ts/1,1)/1000</f>
        <v>11.848413826189979</v>
      </c>
      <c r="J48" s="15">
        <v>30</v>
      </c>
      <c r="K48" s="16">
        <f>1.2*_atm</f>
        <v>1.2159</v>
      </c>
      <c r="L48" s="37">
        <f>[1]!hecalc(9,0,1,_pr*100000,2,_Tr/1,1)/1000</f>
        <v>170.86644192101485</v>
      </c>
      <c r="N48" s="20">
        <f>IF(_Ts=_Tr,_Ts,(_Ts-_Tr)/LN(_Ts/_Tr))</f>
        <v>13.441427112230816</v>
      </c>
      <c r="O48" s="19">
        <f t="shared" si="4"/>
        <v>711713.14964033174</v>
      </c>
      <c r="P48" s="19">
        <f t="shared" si="4"/>
        <v>747298.80712234834</v>
      </c>
      <c r="Q48" s="18">
        <f>[1]!hecalc(8,0,1,_ps*100000,2,_Ts/1,1)/1000</f>
        <v>3.5948081522381865</v>
      </c>
      <c r="R48" s="18">
        <f>[1]!hecalc(8,0,1,_pr*100000,2,_Tr/1,1)/1000</f>
        <v>19.235550828484882</v>
      </c>
    </row>
    <row r="49" spans="2:18" ht="15.75" thickTop="1">
      <c r="B49" s="44"/>
      <c r="C49" s="45"/>
      <c r="D49" s="45"/>
      <c r="E49" s="46"/>
      <c r="F49" s="47"/>
      <c r="G49" s="48"/>
      <c r="H49" s="49"/>
      <c r="I49" s="50"/>
      <c r="J49" s="48"/>
      <c r="K49" s="49"/>
      <c r="L49" s="50"/>
      <c r="N49" s="53">
        <f t="array" ref="N49">SUM(N44:N48*O44:O48)/SUM(O44:O48)</f>
        <v>30.279293957766868</v>
      </c>
      <c r="O49" s="54">
        <f>SUM(O44:O48)/_WW</f>
        <v>18453.366830022376</v>
      </c>
      <c r="P49" s="54">
        <f>SUM(P44:P48)/_WW</f>
        <v>19376.035171523494</v>
      </c>
      <c r="Q49" s="18"/>
      <c r="R49" s="18"/>
    </row>
    <row r="51" spans="2:18">
      <c r="B51" s="63" t="s">
        <v>26</v>
      </c>
      <c r="C51" s="65" t="s">
        <v>0</v>
      </c>
      <c r="D51" s="61"/>
      <c r="E51" s="62" t="s">
        <v>3</v>
      </c>
      <c r="F51" s="66"/>
      <c r="G51" s="61" t="s">
        <v>7</v>
      </c>
      <c r="H51" s="61"/>
      <c r="I51" s="61"/>
      <c r="J51" s="62" t="s">
        <v>8</v>
      </c>
      <c r="K51" s="61"/>
      <c r="L51" s="61"/>
    </row>
    <row r="52" spans="2:18">
      <c r="B52" s="64"/>
      <c r="C52" s="5" t="s">
        <v>1</v>
      </c>
      <c r="D52" s="4" t="s">
        <v>2</v>
      </c>
      <c r="E52" s="7" t="s">
        <v>1</v>
      </c>
      <c r="F52" s="8" t="s">
        <v>2</v>
      </c>
      <c r="G52" s="4" t="s">
        <v>4</v>
      </c>
      <c r="H52" s="4" t="s">
        <v>5</v>
      </c>
      <c r="I52" s="4" t="s">
        <v>6</v>
      </c>
      <c r="J52" s="7" t="s">
        <v>4</v>
      </c>
      <c r="K52" s="4" t="s">
        <v>5</v>
      </c>
      <c r="L52" s="4" t="s">
        <v>6</v>
      </c>
      <c r="N52" s="1" t="s">
        <v>14</v>
      </c>
      <c r="O52" s="1" t="s">
        <v>13</v>
      </c>
      <c r="P52" s="1" t="s">
        <v>2</v>
      </c>
      <c r="Q52" s="1" t="s">
        <v>11</v>
      </c>
      <c r="R52" s="1" t="s">
        <v>12</v>
      </c>
    </row>
    <row r="53" spans="2:18">
      <c r="B53" s="6" t="s">
        <v>9</v>
      </c>
      <c r="C53" s="17">
        <v>10100</v>
      </c>
      <c r="D53" s="27">
        <f>_Power*(1+_ALmargin)</f>
        <v>10605</v>
      </c>
      <c r="E53" s="28">
        <f>_Power/(_hr-_hs)</f>
        <v>96.66209895780996</v>
      </c>
      <c r="F53" s="29">
        <f>_Flow*(1+_ALmargin)</f>
        <v>101.49520390570046</v>
      </c>
      <c r="G53" s="11">
        <v>35</v>
      </c>
      <c r="H53" s="39">
        <f>K53+_atm</f>
        <v>3.7490250000000005</v>
      </c>
      <c r="I53" s="30">
        <f>[1]!hecalc(9,0,1,_ps*100000,2,_Ts/1,1)/1000</f>
        <v>196.81814695603165</v>
      </c>
      <c r="J53" s="13">
        <v>55</v>
      </c>
      <c r="K53" s="40">
        <f>2.7*_atm</f>
        <v>2.7357750000000003</v>
      </c>
      <c r="L53" s="30">
        <f>[1]!hecalc(9,0,1,_pr*100000,2,_Tr/1,1)/1000</f>
        <v>301.30584284610683</v>
      </c>
      <c r="N53" s="20">
        <f>IF(_Ts=_Tr,_Ts,(_Ts-_Tr)/LN(_Ts/_Tr))</f>
        <v>44.249243944961165</v>
      </c>
      <c r="O53" s="19">
        <f t="shared" ref="O53:P57" si="5">E53*(($I53-$L53)-300*($Q53-$R53))</f>
        <v>77537.643155809303</v>
      </c>
      <c r="P53" s="19">
        <f t="shared" si="5"/>
        <v>81414.525313599777</v>
      </c>
      <c r="Q53" s="18">
        <f>[1]!hecalc(8,0,1,_ps*100000,2,_Ts/1,1)/1000</f>
        <v>17.683364923009744</v>
      </c>
      <c r="R53" s="18">
        <f>[1]!hecalc(8,0,1,_pr*100000,2,_Tr/1,1)/1000</f>
        <v>20.70549542023322</v>
      </c>
    </row>
    <row r="54" spans="2:18" s="23" customFormat="1">
      <c r="B54" s="2" t="s">
        <v>16</v>
      </c>
      <c r="C54" s="21">
        <v>900</v>
      </c>
      <c r="D54" s="31">
        <f>_Power*(1+_ALmargin)</f>
        <v>945</v>
      </c>
      <c r="E54" s="42">
        <f>_Power/(_hr-_hs)</f>
        <v>26.245909926147093</v>
      </c>
      <c r="F54" s="32">
        <f>_Flow*(1+_ALmargin)</f>
        <v>27.558205422454449</v>
      </c>
      <c r="G54" s="12">
        <v>5.3</v>
      </c>
      <c r="H54" s="41">
        <f>3.2*_atm</f>
        <v>3.2423999999999999</v>
      </c>
      <c r="I54" s="33">
        <f>[1]!hecalc(9,0,1,_ps*100000,2,_Ts/1,1)/1000</f>
        <v>16.801396656109151</v>
      </c>
      <c r="J54" s="14">
        <v>7.5</v>
      </c>
      <c r="K54" s="41">
        <f>1.23*_atm</f>
        <v>1.2462975000000001</v>
      </c>
      <c r="L54" s="33">
        <f>[1]!hecalc(9,0,1,_pr*100000,2,_Tr/1,1)/1000</f>
        <v>51.092453911601318</v>
      </c>
      <c r="N54" s="24">
        <f>IF(_Ts=_Tr,_Ts,(_Ts-_Tr)/LN(_Ts/_Tr))</f>
        <v>6.3364748810620295</v>
      </c>
      <c r="O54" s="26">
        <f t="shared" si="5"/>
        <v>55317.67051757891</v>
      </c>
      <c r="P54" s="26">
        <f t="shared" si="5"/>
        <v>58083.554043457865</v>
      </c>
      <c r="Q54" s="25">
        <f>[1]!hecalc(8,0,1,_ps*100000,2,_Ts/1,1)/1000</f>
        <v>4.5980468279899469</v>
      </c>
      <c r="R54" s="25">
        <f>[1]!hecalc(8,0,1,_pr*100000,2,_Tr/1,1)/1000</f>
        <v>11.737911118688807</v>
      </c>
    </row>
    <row r="55" spans="2:18">
      <c r="B55" s="2" t="s">
        <v>17</v>
      </c>
      <c r="C55" s="21">
        <v>500</v>
      </c>
      <c r="D55" s="31">
        <f>_Power*(1+_ALmargin)</f>
        <v>525</v>
      </c>
      <c r="E55" s="22">
        <f>_Power/(_hr-_hs)</f>
        <v>26.734377597031262</v>
      </c>
      <c r="F55" s="32">
        <f>_Flow*(1+_ALmargin)</f>
        <v>28.071096476882825</v>
      </c>
      <c r="G55" s="12">
        <v>4.5</v>
      </c>
      <c r="H55" s="41">
        <f>3.2*_atm</f>
        <v>3.2423999999999999</v>
      </c>
      <c r="I55" s="33">
        <f>[1]!hecalc(9,0,1,_ps*100000,2,_Ts/1,1)/1000</f>
        <v>11.848413826189979</v>
      </c>
      <c r="J55" s="51">
        <f>[1]!hecalc(2,0,1,_pr*100000,0,1,1)</f>
        <v>4.4495410194741067</v>
      </c>
      <c r="K55" s="41">
        <f>1.23*_atm</f>
        <v>1.2462975000000001</v>
      </c>
      <c r="L55" s="33">
        <f>[1]!hecalc(9,0,1,_pr*100000,0,1,1)/1000</f>
        <v>30.550925159594758</v>
      </c>
      <c r="N55" s="20">
        <f>IF(_Ts=_Tr,_Ts,(_Ts-_Tr)/LN(_Ts/_Tr))</f>
        <v>4.4747230933333082</v>
      </c>
      <c r="O55" s="19">
        <f t="shared" si="5"/>
        <v>35987.264345482305</v>
      </c>
      <c r="P55" s="19">
        <f t="shared" si="5"/>
        <v>37786.627562756425</v>
      </c>
      <c r="Q55" s="18">
        <f>[1]!hecalc(8,0,1,_ps*100000,2,_Ts/1,1)/1000</f>
        <v>3.5948081522381865</v>
      </c>
      <c r="R55" s="18">
        <f>[1]!hecalc(8,0,1,_pr*100000,0,1,1)/1000</f>
        <v>8.1441646518803132</v>
      </c>
    </row>
    <row r="56" spans="2:18">
      <c r="B56" s="2" t="s">
        <v>18</v>
      </c>
      <c r="C56" s="34">
        <f>_Flow*(_hr-_hs)</f>
        <v>0</v>
      </c>
      <c r="D56" s="31">
        <f>_Power*(1+_ALmargin)</f>
        <v>0</v>
      </c>
      <c r="E56" s="9">
        <v>0</v>
      </c>
      <c r="F56" s="32">
        <f>_Flow*(1+_ALmargin)</f>
        <v>0</v>
      </c>
      <c r="G56" s="12">
        <v>4.5</v>
      </c>
      <c r="H56" s="41">
        <f>3.2*_atm</f>
        <v>3.2423999999999999</v>
      </c>
      <c r="I56" s="33">
        <f>[1]!hecalc(9,0,1,_ps*100000,2,_Ts/1,1)/1000</f>
        <v>11.848413826189979</v>
      </c>
      <c r="J56" s="43">
        <v>300</v>
      </c>
      <c r="K56" s="41">
        <f>1.1*_atm</f>
        <v>1.1145750000000001</v>
      </c>
      <c r="L56" s="33">
        <f>[1]!hecalc(9,0,1,_pr*100000,2,_Tr/1,1)/1000</f>
        <v>1573.5515696893106</v>
      </c>
      <c r="N56" s="20">
        <f>IF(_Ts=_Tr,_Ts,(_Ts-_Tr)/LN(_Ts/_Tr))</f>
        <v>70.362083651162649</v>
      </c>
      <c r="O56" s="19">
        <f t="shared" si="5"/>
        <v>0</v>
      </c>
      <c r="P56" s="19">
        <f t="shared" si="5"/>
        <v>0</v>
      </c>
      <c r="Q56" s="18">
        <f>[1]!hecalc(8,0,1,_ps*100000,2,_Ts/1,1)/1000</f>
        <v>3.5948081522381865</v>
      </c>
      <c r="R56" s="18">
        <f>[1]!hecalc(8,0,1,_pr*100000,2,_Tr/1,1)/1000</f>
        <v>31.386381664668782</v>
      </c>
    </row>
    <row r="57" spans="2:18">
      <c r="B57" s="3" t="s">
        <v>19</v>
      </c>
      <c r="C57" s="34">
        <f>_Flow*(_hr-_hs)</f>
        <v>0</v>
      </c>
      <c r="D57" s="35">
        <f>_Power*(1+_ALmargin)</f>
        <v>0</v>
      </c>
      <c r="E57" s="10">
        <v>0</v>
      </c>
      <c r="F57" s="36">
        <f>_Flow*(1+_ALmargin)</f>
        <v>0</v>
      </c>
      <c r="G57" s="15">
        <v>4.5</v>
      </c>
      <c r="H57" s="16">
        <f>3.2*_atm</f>
        <v>3.2423999999999999</v>
      </c>
      <c r="I57" s="37">
        <f>[1]!hecalc(9,0,1,_ps*100000,2,_Ts/1,1)/1000</f>
        <v>11.848413826189979</v>
      </c>
      <c r="J57" s="15">
        <v>30</v>
      </c>
      <c r="K57" s="16">
        <f>1.2*_atm</f>
        <v>1.2159</v>
      </c>
      <c r="L57" s="37">
        <f>[1]!hecalc(9,0,1,_pr*100000,2,_Tr/1,1)/1000</f>
        <v>170.86644192101485</v>
      </c>
      <c r="N57" s="20">
        <f>IF(_Ts=_Tr,_Ts,(_Ts-_Tr)/LN(_Ts/_Tr))</f>
        <v>13.441427112230816</v>
      </c>
      <c r="O57" s="19">
        <f t="shared" si="5"/>
        <v>0</v>
      </c>
      <c r="P57" s="19">
        <f t="shared" si="5"/>
        <v>0</v>
      </c>
      <c r="Q57" s="18">
        <f>[1]!hecalc(8,0,1,_ps*100000,2,_Ts/1,1)/1000</f>
        <v>3.5948081522381865</v>
      </c>
      <c r="R57" s="18">
        <f>[1]!hecalc(8,0,1,_pr*100000,2,_Tr/1,1)/1000</f>
        <v>19.235550828484882</v>
      </c>
    </row>
    <row r="58" spans="2:18" ht="15.75" thickBot="1">
      <c r="B58" s="44"/>
      <c r="C58" s="45"/>
      <c r="D58" s="45"/>
      <c r="E58" s="46"/>
      <c r="F58" s="47"/>
      <c r="G58" s="48"/>
      <c r="H58" s="49"/>
      <c r="I58" s="50"/>
      <c r="J58" s="48"/>
      <c r="K58" s="49"/>
      <c r="L58" s="50"/>
      <c r="N58" s="20">
        <f t="array" ref="N58">SUM(N53:N57*O53:O57)/SUM(O53:O57)</f>
        <v>23.350355139828803</v>
      </c>
      <c r="O58" s="19">
        <f>SUM(O53:O57)/_WW</f>
        <v>2571.2067718609724</v>
      </c>
      <c r="P58" s="19">
        <f>SUM(P53:P57)/_WW</f>
        <v>2699.7671104540209</v>
      </c>
      <c r="Q58" s="18"/>
      <c r="R58" s="18"/>
    </row>
    <row r="59" spans="2:18" ht="15.75" thickTop="1">
      <c r="N59" s="53">
        <f t="array" ref="N59">SUM(N54:N58*O54:O58)/SUM(O54:O58)</f>
        <v>6.0887745688344062</v>
      </c>
      <c r="O59" s="54">
        <f>SUM(O54:O58)/_WW</f>
        <v>1429.5859132221651</v>
      </c>
      <c r="P59" s="54">
        <f>SUM(P54:P58)/_WW</f>
        <v>1501.0652088832737</v>
      </c>
    </row>
  </sheetData>
  <mergeCells count="32">
    <mergeCell ref="E1:G2"/>
    <mergeCell ref="C2:C3"/>
    <mergeCell ref="B51:B52"/>
    <mergeCell ref="C51:D51"/>
    <mergeCell ref="E51:F51"/>
    <mergeCell ref="G51:I51"/>
    <mergeCell ref="B15:B16"/>
    <mergeCell ref="C15:D15"/>
    <mergeCell ref="E15:F15"/>
    <mergeCell ref="G15:I15"/>
    <mergeCell ref="C33:D33"/>
    <mergeCell ref="E33:F33"/>
    <mergeCell ref="G33:I33"/>
    <mergeCell ref="B6:B7"/>
    <mergeCell ref="C6:D6"/>
    <mergeCell ref="E6:F6"/>
    <mergeCell ref="J51:L51"/>
    <mergeCell ref="B42:B43"/>
    <mergeCell ref="C42:D42"/>
    <mergeCell ref="E42:F42"/>
    <mergeCell ref="G42:I42"/>
    <mergeCell ref="J42:L42"/>
    <mergeCell ref="G6:I6"/>
    <mergeCell ref="J6:L6"/>
    <mergeCell ref="B33:B34"/>
    <mergeCell ref="J33:L33"/>
    <mergeCell ref="B24:B25"/>
    <mergeCell ref="J15:L15"/>
    <mergeCell ref="C24:D24"/>
    <mergeCell ref="E24:F24"/>
    <mergeCell ref="G24:I24"/>
    <mergeCell ref="J24:L24"/>
  </mergeCells>
  <printOptions horizontalCentered="1" verticalCentered="1"/>
  <pageMargins left="0.23622047244094491" right="0.27559055118110237" top="0.74803149606299213" bottom="0.74803149606299213" header="0.31496062992125984" footer="0.31496062992125984"/>
  <pageSetup paperSize="9" scale="5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59"/>
  <sheetViews>
    <sheetView showGridLines="0" tabSelected="1" topLeftCell="E1" zoomScaleNormal="100" zoomScaleSheetLayoutView="85" zoomScalePageLayoutView="85" workbookViewId="0">
      <selection activeCell="N4" sqref="N4"/>
    </sheetView>
  </sheetViews>
  <sheetFormatPr baseColWidth="10" defaultRowHeight="15"/>
  <cols>
    <col min="1" max="1" width="7.140625" style="1" bestFit="1" customWidth="1"/>
    <col min="2" max="2" width="20" style="1" bestFit="1" customWidth="1"/>
    <col min="3" max="3" width="13.140625" style="1" customWidth="1"/>
    <col min="4" max="4" width="15.7109375" style="1" customWidth="1"/>
    <col min="5" max="12" width="13.140625" style="1" customWidth="1"/>
    <col min="13" max="13" width="6.28515625" style="1" customWidth="1"/>
    <col min="14" max="14" width="12.5703125" style="1" bestFit="1" customWidth="1"/>
    <col min="15" max="16" width="13.28515625" style="1" bestFit="1" customWidth="1"/>
    <col min="17" max="17" width="12" style="1" customWidth="1"/>
    <col min="18" max="18" width="11.7109375" style="1" customWidth="1"/>
    <col min="19" max="16384" width="11.42578125" style="1"/>
  </cols>
  <sheetData>
    <row r="1" spans="1:18" ht="15.75" customHeight="1">
      <c r="A1" s="55">
        <v>0.05</v>
      </c>
      <c r="B1" s="56" t="s">
        <v>10</v>
      </c>
      <c r="C1" s="6"/>
      <c r="E1" s="67" t="s">
        <v>28</v>
      </c>
      <c r="F1" s="67"/>
      <c r="G1" s="67"/>
    </row>
    <row r="2" spans="1:18">
      <c r="A2" s="57">
        <v>300</v>
      </c>
      <c r="B2" s="2" t="s">
        <v>20</v>
      </c>
      <c r="C2" s="68">
        <f>(A2-A3)/A3</f>
        <v>65.666666666666671</v>
      </c>
      <c r="D2" s="38"/>
      <c r="E2" s="67"/>
      <c r="F2" s="67"/>
      <c r="G2" s="67"/>
    </row>
    <row r="3" spans="1:18">
      <c r="A3" s="57">
        <v>4.5</v>
      </c>
      <c r="B3" s="2" t="s">
        <v>21</v>
      </c>
      <c r="C3" s="69"/>
      <c r="D3" s="38"/>
    </row>
    <row r="4" spans="1:18">
      <c r="A4" s="58"/>
      <c r="B4" s="59">
        <v>1.01325</v>
      </c>
      <c r="C4" s="60"/>
      <c r="D4" s="38"/>
      <c r="E4" s="72" t="s">
        <v>29</v>
      </c>
    </row>
    <row r="6" spans="1:18">
      <c r="B6" s="63" t="s">
        <v>15</v>
      </c>
      <c r="C6" s="65" t="s">
        <v>0</v>
      </c>
      <c r="D6" s="61"/>
      <c r="E6" s="62" t="s">
        <v>3</v>
      </c>
      <c r="F6" s="66"/>
      <c r="G6" s="61" t="s">
        <v>7</v>
      </c>
      <c r="H6" s="61"/>
      <c r="I6" s="61"/>
      <c r="J6" s="62" t="s">
        <v>8</v>
      </c>
      <c r="K6" s="61"/>
      <c r="L6" s="61"/>
    </row>
    <row r="7" spans="1:18">
      <c r="B7" s="64"/>
      <c r="C7" s="5" t="s">
        <v>1</v>
      </c>
      <c r="D7" s="4" t="s">
        <v>2</v>
      </c>
      <c r="E7" s="7" t="s">
        <v>1</v>
      </c>
      <c r="F7" s="8" t="s">
        <v>2</v>
      </c>
      <c r="G7" s="4" t="s">
        <v>4</v>
      </c>
      <c r="H7" s="4" t="s">
        <v>5</v>
      </c>
      <c r="I7" s="4" t="s">
        <v>6</v>
      </c>
      <c r="J7" s="7" t="s">
        <v>4</v>
      </c>
      <c r="K7" s="4" t="s">
        <v>5</v>
      </c>
      <c r="L7" s="4" t="s">
        <v>6</v>
      </c>
      <c r="N7" s="52" t="s">
        <v>14</v>
      </c>
      <c r="O7" s="52" t="s">
        <v>13</v>
      </c>
      <c r="P7" s="52" t="s">
        <v>2</v>
      </c>
      <c r="Q7" s="52" t="s">
        <v>11</v>
      </c>
      <c r="R7" s="52" t="s">
        <v>12</v>
      </c>
    </row>
    <row r="8" spans="1:18">
      <c r="B8" s="6" t="s">
        <v>9</v>
      </c>
      <c r="C8" s="17">
        <v>15200</v>
      </c>
      <c r="D8" s="27">
        <f>_Power*(1+_ALmargin)</f>
        <v>15960</v>
      </c>
      <c r="E8" s="28">
        <f>_Power/(_hr-_hs)</f>
        <v>145.52924855721722</v>
      </c>
      <c r="F8" s="29">
        <f>_Flow*(1+_ALmargin)</f>
        <v>152.80571098507809</v>
      </c>
      <c r="G8" s="11">
        <v>35</v>
      </c>
      <c r="H8" s="39">
        <f>K8+_atm</f>
        <v>3.5463750000000003</v>
      </c>
      <c r="I8" s="30">
        <f>[1]!hecalc(9,0,1,_ps*100000,2,_Ts/1,1)/1000</f>
        <v>196.82866513005004</v>
      </c>
      <c r="J8" s="13">
        <v>55</v>
      </c>
      <c r="K8" s="40">
        <f>2.5*_atm</f>
        <v>2.5331250000000001</v>
      </c>
      <c r="L8" s="30">
        <f>[1]!hecalc(9,0,1,_pr*100000,2,_Tr/1,1)/1000</f>
        <v>301.27502316936796</v>
      </c>
      <c r="N8" s="20">
        <f>IF(_Ts=_Tr,_Ts,(_Ts-_Tr)/LN(_Ts/_Tr))</f>
        <v>44.249243944961165</v>
      </c>
      <c r="O8" s="19">
        <f t="shared" ref="O8:P12" si="0">E8*(($I8-$L8)-300*($Q8-$R8))</f>
        <v>118640.07257927561</v>
      </c>
      <c r="P8" s="19">
        <f t="shared" si="0"/>
        <v>124572.07620823941</v>
      </c>
      <c r="Q8" s="18">
        <f>[1]!hecalc(8,0,1,_ps*100000,2,_Ts/1,1)/1000</f>
        <v>17.800190777067577</v>
      </c>
      <c r="R8" s="18">
        <f>[1]!hecalc(8,0,1,_pr*100000,2,_Tr/1,1)/1000</f>
        <v>20.865784667555147</v>
      </c>
    </row>
    <row r="9" spans="1:18" s="23" customFormat="1">
      <c r="B9" s="2" t="s">
        <v>16</v>
      </c>
      <c r="C9" s="21">
        <v>1300</v>
      </c>
      <c r="D9" s="31">
        <f>_Power*(1+_ALmargin)</f>
        <v>1365</v>
      </c>
      <c r="E9" s="42">
        <f>_Power/(_hr-_hs)</f>
        <v>36.410174171018127</v>
      </c>
      <c r="F9" s="32">
        <f>_Flow*(1+_ALmargin)</f>
        <v>38.230682879569038</v>
      </c>
      <c r="G9" s="70">
        <v>5.0999999999999996</v>
      </c>
      <c r="H9" s="71">
        <f>3*_atm</f>
        <v>3.0397499999999997</v>
      </c>
      <c r="I9" s="33">
        <f>[1]!hecalc(9,0,1,_ps*100000,2,_Ts/1,1)/1000</f>
        <v>15.262442749662871</v>
      </c>
      <c r="J9" s="14">
        <v>7.5</v>
      </c>
      <c r="K9" s="71">
        <f>1.277*_atm</f>
        <v>1.29392025</v>
      </c>
      <c r="L9" s="33">
        <f>[1]!hecalc(9,0,1,_pr*100000,2,_Tr/1,1)/1000</f>
        <v>50.966748746495419</v>
      </c>
      <c r="N9" s="24">
        <f>IF(_Ts=_Tr,_Ts,(_Ts-_Tr)/LN(_Ts/_Tr))</f>
        <v>6.2230580349609639</v>
      </c>
      <c r="O9" s="26">
        <f t="shared" si="0"/>
        <v>78572.373904056454</v>
      </c>
      <c r="P9" s="26">
        <f t="shared" si="0"/>
        <v>82500.992599259291</v>
      </c>
      <c r="Q9" s="25">
        <f>[1]!hecalc(8,0,1,_ps*100000,2,_Ts/1,1)/1000</f>
        <v>4.3370946735306308</v>
      </c>
      <c r="R9" s="25">
        <f>[1]!hecalc(8,0,1,_pr*100000,2,_Tr/1,1)/1000</f>
        <v>11.649370772412308</v>
      </c>
    </row>
    <row r="10" spans="1:18">
      <c r="B10" s="2" t="s">
        <v>17</v>
      </c>
      <c r="C10" s="21">
        <v>0</v>
      </c>
      <c r="D10" s="31">
        <f>_Power*(1+_ALmargin)</f>
        <v>0</v>
      </c>
      <c r="E10" s="22">
        <f>_Power/(_hr-_hs)</f>
        <v>0</v>
      </c>
      <c r="F10" s="32">
        <f>_Flow*(1+_ALmargin)</f>
        <v>0</v>
      </c>
      <c r="G10" s="12">
        <v>4.5</v>
      </c>
      <c r="H10" s="41">
        <f>3.2*_atm</f>
        <v>3.2423999999999999</v>
      </c>
      <c r="I10" s="33">
        <f>[1]!hecalc(9,0,1,_ps*100000,2,_Ts/1,1)/1000</f>
        <v>11.848413826189979</v>
      </c>
      <c r="J10" s="51">
        <f>[1]!hecalc(2,0,1,_pr*100000,0,1,1)</f>
        <v>4.4495410194741067</v>
      </c>
      <c r="K10" s="41">
        <f>1.23*_atm</f>
        <v>1.2462975000000001</v>
      </c>
      <c r="L10" s="33">
        <f>[1]!hecalc(9,0,1,_pr*100000,0,1,1)/1000</f>
        <v>30.550925159594758</v>
      </c>
      <c r="N10" s="20">
        <f>IF(_Ts=_Tr,_Ts,(_Ts-_Tr)/LN(_Ts/_Tr))</f>
        <v>4.4747230933333082</v>
      </c>
      <c r="O10" s="19">
        <f t="shared" si="0"/>
        <v>0</v>
      </c>
      <c r="P10" s="19">
        <f t="shared" si="0"/>
        <v>0</v>
      </c>
      <c r="Q10" s="18">
        <f>[1]!hecalc(8,0,1,_ps*100000,2,_Ts/1,1)/1000</f>
        <v>3.5948081522381865</v>
      </c>
      <c r="R10" s="18">
        <f>[1]!hecalc(8,0,1,_pr*100000,0,1,1)/1000</f>
        <v>8.1441646518803132</v>
      </c>
    </row>
    <row r="11" spans="1:18">
      <c r="B11" s="2" t="s">
        <v>18</v>
      </c>
      <c r="C11" s="34">
        <f>_Flow*(_hr-_hs)</f>
        <v>23425.547337946809</v>
      </c>
      <c r="D11" s="31">
        <f>_Power*(1+_ALmargin)</f>
        <v>24596.824704844152</v>
      </c>
      <c r="E11" s="9">
        <v>15</v>
      </c>
      <c r="F11" s="32">
        <f>_Flow*(1+_ALmargin)</f>
        <v>15.75</v>
      </c>
      <c r="G11" s="12">
        <v>4.5</v>
      </c>
      <c r="H11" s="41">
        <f>3.2*_atm</f>
        <v>3.2423999999999999</v>
      </c>
      <c r="I11" s="33">
        <f>[1]!hecalc(9,0,1,_ps*100000,2,_Ts/1,1)/1000</f>
        <v>11.848413826189979</v>
      </c>
      <c r="J11" s="43">
        <v>300</v>
      </c>
      <c r="K11" s="41">
        <f>1.1*_atm</f>
        <v>1.1145750000000001</v>
      </c>
      <c r="L11" s="33">
        <f>[1]!hecalc(9,0,1,_pr*100000,2,_Tr/1,1)/1000</f>
        <v>1573.5515696893106</v>
      </c>
      <c r="N11" s="20">
        <f>IF(_Ts=_Tr,_Ts,(_Ts-_Tr)/LN(_Ts/_Tr))</f>
        <v>70.362083651162649</v>
      </c>
      <c r="O11" s="19">
        <f t="shared" si="0"/>
        <v>101636.53346799086</v>
      </c>
      <c r="P11" s="19">
        <f t="shared" si="0"/>
        <v>106718.3601413904</v>
      </c>
      <c r="Q11" s="18">
        <f>[1]!hecalc(8,0,1,_ps*100000,2,_Ts/1,1)/1000</f>
        <v>3.5948081522381865</v>
      </c>
      <c r="R11" s="18">
        <f>[1]!hecalc(8,0,1,_pr*100000,2,_Tr/1,1)/1000</f>
        <v>31.386381664668782</v>
      </c>
    </row>
    <row r="12" spans="1:18" ht="15.75" thickBot="1">
      <c r="B12" s="3" t="s">
        <v>19</v>
      </c>
      <c r="C12" s="34">
        <f>_Flow*(_hr-_hs)</f>
        <v>31803.605618964975</v>
      </c>
      <c r="D12" s="35">
        <f>_Power*(1+_ALmargin)</f>
        <v>33393.785899913222</v>
      </c>
      <c r="E12" s="10">
        <v>200</v>
      </c>
      <c r="F12" s="36">
        <f>_Flow*(1+_ALmargin)</f>
        <v>210</v>
      </c>
      <c r="G12" s="15">
        <v>4.5</v>
      </c>
      <c r="H12" s="16">
        <f>3.2*_atm</f>
        <v>3.2423999999999999</v>
      </c>
      <c r="I12" s="37">
        <f>[1]!hecalc(9,0,1,_ps*100000,2,_Ts/1,1)/1000</f>
        <v>11.848413826189979</v>
      </c>
      <c r="J12" s="15">
        <v>30</v>
      </c>
      <c r="K12" s="16">
        <f>1.2*_atm</f>
        <v>1.2159</v>
      </c>
      <c r="L12" s="37">
        <f>[1]!hecalc(9,0,1,_pr*100000,2,_Tr/1,1)/1000</f>
        <v>170.86644192101485</v>
      </c>
      <c r="N12" s="20">
        <f>IF(_Ts=_Tr,_Ts,(_Ts-_Tr)/LN(_Ts/_Tr))</f>
        <v>13.441427112230816</v>
      </c>
      <c r="O12" s="19">
        <f t="shared" si="0"/>
        <v>906640.95495583664</v>
      </c>
      <c r="P12" s="19">
        <f t="shared" si="0"/>
        <v>951973.00270362839</v>
      </c>
      <c r="Q12" s="18">
        <f>[1]!hecalc(8,0,1,_ps*100000,2,_Ts/1,1)/1000</f>
        <v>3.5948081522381865</v>
      </c>
      <c r="R12" s="18">
        <f>[1]!hecalc(8,0,1,_pr*100000,2,_Tr/1,1)/1000</f>
        <v>19.235550828484882</v>
      </c>
    </row>
    <row r="13" spans="1:18" ht="15.75" thickTop="1">
      <c r="B13" s="44"/>
      <c r="C13" s="45"/>
      <c r="D13" s="45"/>
      <c r="E13" s="46"/>
      <c r="F13" s="47"/>
      <c r="G13" s="48"/>
      <c r="H13" s="49"/>
      <c r="I13" s="50"/>
      <c r="J13" s="48"/>
      <c r="K13" s="49"/>
      <c r="L13" s="50"/>
      <c r="N13" s="53">
        <f t="array" ref="N13">SUM(N8:N12*O8:O12)/SUM(O8:O12)</f>
        <v>20.801999098217532</v>
      </c>
      <c r="O13" s="54">
        <f>SUM(O8:O12)/_WW</f>
        <v>18357.714744779078</v>
      </c>
      <c r="P13" s="54">
        <f>SUM(P8:P12)/_WW</f>
        <v>19275.600482018031</v>
      </c>
      <c r="Q13" s="18"/>
      <c r="R13" s="18"/>
    </row>
    <row r="15" spans="1:18">
      <c r="B15" s="63" t="s">
        <v>22</v>
      </c>
      <c r="C15" s="65" t="s">
        <v>0</v>
      </c>
      <c r="D15" s="61"/>
      <c r="E15" s="62" t="s">
        <v>3</v>
      </c>
      <c r="F15" s="66"/>
      <c r="G15" s="61" t="s">
        <v>7</v>
      </c>
      <c r="H15" s="61"/>
      <c r="I15" s="61"/>
      <c r="J15" s="62" t="s">
        <v>8</v>
      </c>
      <c r="K15" s="61"/>
      <c r="L15" s="61"/>
    </row>
    <row r="16" spans="1:18">
      <c r="B16" s="64"/>
      <c r="C16" s="5" t="s">
        <v>1</v>
      </c>
      <c r="D16" s="4" t="s">
        <v>2</v>
      </c>
      <c r="E16" s="7" t="s">
        <v>1</v>
      </c>
      <c r="F16" s="8" t="s">
        <v>2</v>
      </c>
      <c r="G16" s="4" t="s">
        <v>4</v>
      </c>
      <c r="H16" s="4" t="s">
        <v>5</v>
      </c>
      <c r="I16" s="4" t="s">
        <v>6</v>
      </c>
      <c r="J16" s="7" t="s">
        <v>4</v>
      </c>
      <c r="K16" s="4" t="s">
        <v>5</v>
      </c>
      <c r="L16" s="4" t="s">
        <v>6</v>
      </c>
      <c r="N16" s="1" t="s">
        <v>14</v>
      </c>
      <c r="O16" s="1" t="s">
        <v>13</v>
      </c>
      <c r="P16" s="1" t="s">
        <v>2</v>
      </c>
      <c r="Q16" s="1" t="s">
        <v>11</v>
      </c>
      <c r="R16" s="1" t="s">
        <v>12</v>
      </c>
    </row>
    <row r="17" spans="2:18">
      <c r="B17" s="6" t="s">
        <v>9</v>
      </c>
      <c r="C17" s="17">
        <v>10100</v>
      </c>
      <c r="D17" s="27">
        <f>_Power*(1+_ALmargin)</f>
        <v>10605</v>
      </c>
      <c r="E17" s="28">
        <f>_Power/(_hr-_hs)</f>
        <v>96.700355949203555</v>
      </c>
      <c r="F17" s="29">
        <f>_Flow*(1+_ALmargin)</f>
        <v>101.53537374666374</v>
      </c>
      <c r="G17" s="11">
        <v>35</v>
      </c>
      <c r="H17" s="39">
        <f>K17+_atm</f>
        <v>3.5463750000000003</v>
      </c>
      <c r="I17" s="30">
        <f>[1]!hecalc(9,0,1,_ps*100000,2,_Ts/1,1)/1000</f>
        <v>196.82866513005004</v>
      </c>
      <c r="J17" s="13">
        <v>55</v>
      </c>
      <c r="K17" s="40">
        <f>2.5*_atm</f>
        <v>2.5331250000000001</v>
      </c>
      <c r="L17" s="30">
        <f>[1]!hecalc(9,0,1,_pr*100000,2,_Tr/1,1)/1000</f>
        <v>301.27502316936796</v>
      </c>
      <c r="N17" s="20">
        <f>IF(_Ts=_Tr,_Ts,(_Ts-_Tr)/LN(_Ts/_Tr))</f>
        <v>44.249243944961165</v>
      </c>
      <c r="O17" s="19">
        <f t="shared" ref="O17:P21" si="1">E17*(($I17-$L17)-300*($Q17-$R17))</f>
        <v>78833.206121755517</v>
      </c>
      <c r="P17" s="19">
        <f t="shared" si="1"/>
        <v>82774.866427843299</v>
      </c>
      <c r="Q17" s="18">
        <f>[1]!hecalc(8,0,1,_ps*100000,2,_Ts/1,1)/1000</f>
        <v>17.800190777067577</v>
      </c>
      <c r="R17" s="18">
        <f>[1]!hecalc(8,0,1,_pr*100000,2,_Tr/1,1)/1000</f>
        <v>20.865784667555147</v>
      </c>
    </row>
    <row r="18" spans="2:18" s="23" customFormat="1">
      <c r="B18" s="2" t="s">
        <v>16</v>
      </c>
      <c r="C18" s="21">
        <v>900</v>
      </c>
      <c r="D18" s="31">
        <f>_Power*(1+_ALmargin)</f>
        <v>945</v>
      </c>
      <c r="E18" s="42">
        <f>_Power/(_hr-_hs)</f>
        <v>25.765695472833684</v>
      </c>
      <c r="F18" s="32">
        <f>_Flow*(1+_ALmargin)</f>
        <v>27.053980246475369</v>
      </c>
      <c r="G18" s="70">
        <v>5.2</v>
      </c>
      <c r="H18" s="71">
        <f>3*_atm</f>
        <v>3.0397499999999997</v>
      </c>
      <c r="I18" s="33">
        <f>[1]!hecalc(9,0,1,_ps*100000,2,_Ts/1,1)/1000</f>
        <v>16.090138787240271</v>
      </c>
      <c r="J18" s="14">
        <v>7.5</v>
      </c>
      <c r="K18" s="71">
        <f>1.257*_atm</f>
        <v>1.2736552499999998</v>
      </c>
      <c r="L18" s="33">
        <f>[1]!hecalc(9,0,1,_pr*100000,2,_Tr/1,1)/1000</f>
        <v>51.020304012119368</v>
      </c>
      <c r="N18" s="24">
        <f>IF(_Ts=_Tr,_Ts,(_Ts-_Tr)/LN(_Ts/_Tr))</f>
        <v>6.2799595889606241</v>
      </c>
      <c r="O18" s="26">
        <f t="shared" si="1"/>
        <v>54668.279414060307</v>
      </c>
      <c r="P18" s="26">
        <f t="shared" si="1"/>
        <v>57401.693384763319</v>
      </c>
      <c r="Q18" s="25">
        <f>[1]!hecalc(8,0,1,_ps*100000,2,_Ts/1,1)/1000</f>
        <v>4.4977757778978411</v>
      </c>
      <c r="R18" s="25">
        <f>[1]!hecalc(8,0,1,_pr*100000,2,_Tr/1,1)/1000</f>
        <v>11.686698671214042</v>
      </c>
    </row>
    <row r="19" spans="2:18">
      <c r="B19" s="2" t="s">
        <v>17</v>
      </c>
      <c r="C19" s="21">
        <v>0</v>
      </c>
      <c r="D19" s="31">
        <f>_Power*(1+_ALmargin)</f>
        <v>0</v>
      </c>
      <c r="E19" s="22">
        <f>_Power/(_hr-_hs)</f>
        <v>0</v>
      </c>
      <c r="F19" s="32">
        <f>_Flow*(1+_ALmargin)</f>
        <v>0</v>
      </c>
      <c r="G19" s="12">
        <v>4.5</v>
      </c>
      <c r="H19" s="41">
        <f>3.2*_atm</f>
        <v>3.2423999999999999</v>
      </c>
      <c r="I19" s="33">
        <f>[1]!hecalc(9,0,1,_ps*100000,2,_Ts/1,1)/1000</f>
        <v>11.848413826189979</v>
      </c>
      <c r="J19" s="51">
        <f>[1]!hecalc(2,0,1,_pr*100000,0,1,1)</f>
        <v>4.4495410194741067</v>
      </c>
      <c r="K19" s="41">
        <f>1.23*_atm</f>
        <v>1.2462975000000001</v>
      </c>
      <c r="L19" s="33">
        <f>[1]!hecalc(9,0,1,_pr*100000,0,1,1)/1000</f>
        <v>30.550925159594758</v>
      </c>
      <c r="N19" s="20">
        <f>IF(_Ts=_Tr,_Ts,(_Ts-_Tr)/LN(_Ts/_Tr))</f>
        <v>4.4747230933333082</v>
      </c>
      <c r="O19" s="19">
        <f t="shared" si="1"/>
        <v>0</v>
      </c>
      <c r="P19" s="19">
        <f t="shared" si="1"/>
        <v>0</v>
      </c>
      <c r="Q19" s="18">
        <f>[1]!hecalc(8,0,1,_ps*100000,2,_Ts/1,1)/1000</f>
        <v>3.5948081522381865</v>
      </c>
      <c r="R19" s="18">
        <f>[1]!hecalc(8,0,1,_pr*100000,0,1,1)/1000</f>
        <v>8.1441646518803132</v>
      </c>
    </row>
    <row r="20" spans="2:18">
      <c r="B20" s="2" t="s">
        <v>18</v>
      </c>
      <c r="C20" s="34">
        <f>_Flow*(_hr-_hs)</f>
        <v>0</v>
      </c>
      <c r="D20" s="31">
        <f>_Power*(1+_ALmargin)</f>
        <v>0</v>
      </c>
      <c r="E20" s="9">
        <v>0</v>
      </c>
      <c r="F20" s="32">
        <f>_Flow*(1+_ALmargin)</f>
        <v>0</v>
      </c>
      <c r="G20" s="12">
        <v>4.5</v>
      </c>
      <c r="H20" s="41">
        <f>3.2*_atm</f>
        <v>3.2423999999999999</v>
      </c>
      <c r="I20" s="33">
        <f>[1]!hecalc(9,0,1,_ps*100000,2,_Ts/1,1)/1000</f>
        <v>11.848413826189979</v>
      </c>
      <c r="J20" s="43">
        <v>300</v>
      </c>
      <c r="K20" s="41">
        <f>1.1*_atm</f>
        <v>1.1145750000000001</v>
      </c>
      <c r="L20" s="33">
        <f>[1]!hecalc(9,0,1,_pr*100000,2,_Tr/1,1)/1000</f>
        <v>1573.5515696893106</v>
      </c>
      <c r="N20" s="20">
        <f>IF(_Ts=_Tr,_Ts,(_Ts-_Tr)/LN(_Ts/_Tr))</f>
        <v>70.362083651162649</v>
      </c>
      <c r="O20" s="19">
        <f t="shared" si="1"/>
        <v>0</v>
      </c>
      <c r="P20" s="19">
        <f t="shared" si="1"/>
        <v>0</v>
      </c>
      <c r="Q20" s="18">
        <f>[1]!hecalc(8,0,1,_ps*100000,2,_Ts/1,1)/1000</f>
        <v>3.5948081522381865</v>
      </c>
      <c r="R20" s="18">
        <f>[1]!hecalc(8,0,1,_pr*100000,2,_Tr/1,1)/1000</f>
        <v>31.386381664668782</v>
      </c>
    </row>
    <row r="21" spans="2:18" ht="15.75" thickBot="1">
      <c r="B21" s="3" t="s">
        <v>19</v>
      </c>
      <c r="C21" s="34">
        <f>_Flow*(_hr-_hs)</f>
        <v>24965.830410887505</v>
      </c>
      <c r="D21" s="35">
        <f>_Power*(1+_ALmargin)</f>
        <v>26214.121931431881</v>
      </c>
      <c r="E21" s="10">
        <v>157</v>
      </c>
      <c r="F21" s="36">
        <f>_Flow*(1+_ALmargin)</f>
        <v>164.85</v>
      </c>
      <c r="G21" s="15">
        <v>4.5</v>
      </c>
      <c r="H21" s="16">
        <f>3.2*_atm</f>
        <v>3.2423999999999999</v>
      </c>
      <c r="I21" s="37">
        <f>[1]!hecalc(9,0,1,_ps*100000,2,_Ts/1,1)/1000</f>
        <v>11.848413826189979</v>
      </c>
      <c r="J21" s="15">
        <v>30</v>
      </c>
      <c r="K21" s="16">
        <f>1.2*_atm</f>
        <v>1.2159</v>
      </c>
      <c r="L21" s="37">
        <f>[1]!hecalc(9,0,1,_pr*100000,2,_Tr/1,1)/1000</f>
        <v>170.86644192101485</v>
      </c>
      <c r="N21" s="20">
        <f>IF(_Ts=_Tr,_Ts,(_Ts-_Tr)/LN(_Ts/_Tr))</f>
        <v>13.441427112230816</v>
      </c>
      <c r="O21" s="19">
        <f t="shared" si="1"/>
        <v>711713.14964033174</v>
      </c>
      <c r="P21" s="19">
        <f t="shared" si="1"/>
        <v>747298.80712234834</v>
      </c>
      <c r="Q21" s="18">
        <f>[1]!hecalc(8,0,1,_ps*100000,2,_Ts/1,1)/1000</f>
        <v>3.5948081522381865</v>
      </c>
      <c r="R21" s="18">
        <f>[1]!hecalc(8,0,1,_pr*100000,2,_Tr/1,1)/1000</f>
        <v>19.235550828484882</v>
      </c>
    </row>
    <row r="22" spans="2:18" ht="15.75" thickTop="1">
      <c r="B22" s="44"/>
      <c r="C22" s="45"/>
      <c r="D22" s="45"/>
      <c r="E22" s="46"/>
      <c r="F22" s="47"/>
      <c r="G22" s="48"/>
      <c r="H22" s="49"/>
      <c r="I22" s="50"/>
      <c r="J22" s="48"/>
      <c r="K22" s="49"/>
      <c r="L22" s="50"/>
      <c r="N22" s="53">
        <f t="array" ref="N22">SUM(N17:N21*O17:O21)/SUM(O17:O21)</f>
        <v>15.851671542670083</v>
      </c>
      <c r="O22" s="54">
        <f>SUM(O17:O21)/_WW</f>
        <v>12871.28886055047</v>
      </c>
      <c r="P22" s="54">
        <f>SUM(P17:P21)/_WW</f>
        <v>13514.853303577993</v>
      </c>
      <c r="Q22" s="18"/>
      <c r="R22" s="18"/>
    </row>
    <row r="24" spans="2:18">
      <c r="B24" s="63" t="s">
        <v>23</v>
      </c>
      <c r="C24" s="65" t="s">
        <v>0</v>
      </c>
      <c r="D24" s="61"/>
      <c r="E24" s="62" t="s">
        <v>3</v>
      </c>
      <c r="F24" s="66"/>
      <c r="G24" s="61" t="s">
        <v>7</v>
      </c>
      <c r="H24" s="61"/>
      <c r="I24" s="61"/>
      <c r="J24" s="62" t="s">
        <v>8</v>
      </c>
      <c r="K24" s="61"/>
      <c r="L24" s="61"/>
    </row>
    <row r="25" spans="2:18">
      <c r="B25" s="64"/>
      <c r="C25" s="5" t="s">
        <v>1</v>
      </c>
      <c r="D25" s="4" t="s">
        <v>2</v>
      </c>
      <c r="E25" s="7" t="s">
        <v>1</v>
      </c>
      <c r="F25" s="8" t="s">
        <v>2</v>
      </c>
      <c r="G25" s="4" t="s">
        <v>4</v>
      </c>
      <c r="H25" s="4" t="s">
        <v>5</v>
      </c>
      <c r="I25" s="4" t="s">
        <v>6</v>
      </c>
      <c r="J25" s="7" t="s">
        <v>4</v>
      </c>
      <c r="K25" s="4" t="s">
        <v>5</v>
      </c>
      <c r="L25" s="4" t="s">
        <v>6</v>
      </c>
      <c r="N25" s="1" t="s">
        <v>14</v>
      </c>
      <c r="O25" s="1" t="s">
        <v>13</v>
      </c>
      <c r="P25" s="1" t="s">
        <v>2</v>
      </c>
      <c r="Q25" s="1" t="s">
        <v>11</v>
      </c>
      <c r="R25" s="1" t="s">
        <v>12</v>
      </c>
    </row>
    <row r="26" spans="2:18">
      <c r="B26" s="6" t="s">
        <v>9</v>
      </c>
      <c r="C26" s="17">
        <v>10100</v>
      </c>
      <c r="D26" s="27">
        <f>_Power*(1+_ALmargin)</f>
        <v>10605</v>
      </c>
      <c r="E26" s="28">
        <f>_Power/(_hr-_hs)</f>
        <v>155.20636390091892</v>
      </c>
      <c r="F26" s="29">
        <f>_Flow*(1+_ALmargin)</f>
        <v>162.96668209596487</v>
      </c>
      <c r="G26" s="11">
        <v>44</v>
      </c>
      <c r="H26" s="39">
        <f>K26+_atm</f>
        <v>3.3437250000000001</v>
      </c>
      <c r="I26" s="30">
        <f>[1]!hecalc(9,0,1,_ps*100000,2,_Ts/1,1)/1000</f>
        <v>243.98006990017637</v>
      </c>
      <c r="J26" s="13">
        <v>56.5</v>
      </c>
      <c r="K26" s="40">
        <f>2.3*_atm</f>
        <v>2.3304749999999999</v>
      </c>
      <c r="L26" s="30">
        <f>[1]!hecalc(9,0,1,_pr*100000,2,_Tr/1,1)/1000</f>
        <v>309.05472113321258</v>
      </c>
      <c r="N26" s="20">
        <f>IF(_Ts=_Tr,_Ts,(_Ts-_Tr)/LN(_Ts/_Tr))</f>
        <v>49.989801233894191</v>
      </c>
      <c r="O26" s="19">
        <f t="shared" ref="O26:P30" si="2">E26*(($I26-$L26)-300*($Q26-$R26))</f>
        <v>85676.187670389467</v>
      </c>
      <c r="P26" s="19">
        <f t="shared" si="2"/>
        <v>89959.997053908941</v>
      </c>
      <c r="Q26" s="18">
        <f>[1]!hecalc(8,0,1,_ps*100000,2,_Ts/1,1)/1000</f>
        <v>19.122553991840395</v>
      </c>
      <c r="R26" s="18">
        <f>[1]!hecalc(8,0,1,_pr*100000,2,_Tr/1,1)/1000</f>
        <v>21.179518351272876</v>
      </c>
    </row>
    <row r="27" spans="2:18" s="23" customFormat="1">
      <c r="B27" s="2" t="s">
        <v>16</v>
      </c>
      <c r="C27" s="21">
        <v>900</v>
      </c>
      <c r="D27" s="31">
        <f>_Power*(1+_ALmargin)</f>
        <v>945</v>
      </c>
      <c r="E27" s="42">
        <f>_Power/(_hr-_hs)</f>
        <v>20.92294373213501</v>
      </c>
      <c r="F27" s="32">
        <f>_Flow*(1+_ALmargin)</f>
        <v>21.969090918741763</v>
      </c>
      <c r="G27" s="12">
        <v>5.8</v>
      </c>
      <c r="H27" s="41">
        <f>3.2*_atm</f>
        <v>3.2423999999999999</v>
      </c>
      <c r="I27" s="33">
        <f>[1]!hecalc(9,0,1,_ps*100000,2,_Ts/1,1)/1000</f>
        <v>26.453256626271571</v>
      </c>
      <c r="J27" s="14">
        <v>10.8</v>
      </c>
      <c r="K27" s="41">
        <f>1.23*_atm</f>
        <v>1.2462975000000001</v>
      </c>
      <c r="L27" s="33">
        <f>[1]!hecalc(9,0,1,_pr*100000,2,_Tr/1,1)/1000</f>
        <v>69.468236330953999</v>
      </c>
      <c r="N27" s="24">
        <f>IF(_Ts=_Tr,_Ts,(_Ts-_Tr)/LN(_Ts/_Tr))</f>
        <v>8.0426166471731442</v>
      </c>
      <c r="O27" s="26">
        <f t="shared" si="2"/>
        <v>45850.756560294925</v>
      </c>
      <c r="P27" s="26">
        <f t="shared" si="2"/>
        <v>48143.294388309681</v>
      </c>
      <c r="Q27" s="25">
        <f>[1]!hecalc(8,0,1,_ps*100000,2,_Ts/1,1)/1000</f>
        <v>6.3238311579353299</v>
      </c>
      <c r="R27" s="25">
        <f>[1]!hecalc(8,0,1,_pr*100000,2,_Tr/1,1)/1000</f>
        <v>13.771915767637683</v>
      </c>
    </row>
    <row r="28" spans="2:18">
      <c r="B28" s="2" t="s">
        <v>17</v>
      </c>
      <c r="C28" s="34">
        <f>_Flow*(_hr-_hs)</f>
        <v>0</v>
      </c>
      <c r="D28" s="31">
        <f>_Power*(1+_ALmargin)</f>
        <v>0</v>
      </c>
      <c r="E28" s="9">
        <v>0</v>
      </c>
      <c r="F28" s="32">
        <f>_Flow*(1+_ALmargin)</f>
        <v>0</v>
      </c>
      <c r="G28" s="12">
        <v>4.5</v>
      </c>
      <c r="H28" s="41">
        <f>3.2*_atm</f>
        <v>3.2423999999999999</v>
      </c>
      <c r="I28" s="33">
        <f>[1]!hecalc(9,0,1,_ps*100000,2,_Ts/1,1)/1000</f>
        <v>11.848413826189979</v>
      </c>
      <c r="J28" s="51">
        <f>[1]!hecalc(2,0,1,_pr*100000,0,1,1)</f>
        <v>4.4495410194741067</v>
      </c>
      <c r="K28" s="41">
        <f>1.23*_atm</f>
        <v>1.2462975000000001</v>
      </c>
      <c r="L28" s="33">
        <f>[1]!hecalc(9,0,1,_pr*100000,0,1,1)/1000</f>
        <v>30.550925159594758</v>
      </c>
      <c r="N28" s="20">
        <f>IF(_Ts=_Tr,_Ts,(_Ts-_Tr)/LN(_Ts/_Tr))</f>
        <v>4.4747230933333082</v>
      </c>
      <c r="O28" s="19">
        <f t="shared" si="2"/>
        <v>0</v>
      </c>
      <c r="P28" s="19">
        <f t="shared" si="2"/>
        <v>0</v>
      </c>
      <c r="Q28" s="18">
        <f>[1]!hecalc(8,0,1,_ps*100000,2,_Ts/1,1)/1000</f>
        <v>3.5948081522381865</v>
      </c>
      <c r="R28" s="18">
        <f>[1]!hecalc(8,0,1,_pr*100000,0,1,1)/1000</f>
        <v>8.1441646518803132</v>
      </c>
    </row>
    <row r="29" spans="2:18">
      <c r="B29" s="2" t="s">
        <v>18</v>
      </c>
      <c r="C29" s="34">
        <f>_Flow*(_hr-_hs)</f>
        <v>218638.44182083689</v>
      </c>
      <c r="D29" s="31">
        <f>_Power*(1+_ALmargin)</f>
        <v>229570.36391187875</v>
      </c>
      <c r="E29" s="9">
        <v>140</v>
      </c>
      <c r="F29" s="32">
        <f>_Flow*(1+_ALmargin)</f>
        <v>147</v>
      </c>
      <c r="G29" s="12">
        <v>4.5</v>
      </c>
      <c r="H29" s="41">
        <f>3.2*_atm</f>
        <v>3.2423999999999999</v>
      </c>
      <c r="I29" s="33">
        <f>[1]!hecalc(9,0,1,_ps*100000,2,_Ts/1,1)/1000</f>
        <v>11.848413826189979</v>
      </c>
      <c r="J29" s="43">
        <v>300</v>
      </c>
      <c r="K29" s="41">
        <f>1.1*_atm</f>
        <v>1.1145750000000001</v>
      </c>
      <c r="L29" s="33">
        <f>[1]!hecalc(9,0,1,_pr*100000,2,_Tr/1,1)/1000</f>
        <v>1573.5515696893106</v>
      </c>
      <c r="N29" s="20">
        <f>IF(_Ts=_Tr,_Ts,(_Ts-_Tr)/LN(_Ts/_Tr))</f>
        <v>70.362083651162649</v>
      </c>
      <c r="O29" s="19">
        <f t="shared" si="2"/>
        <v>948607.64570124797</v>
      </c>
      <c r="P29" s="19">
        <f t="shared" si="2"/>
        <v>996038.02798631042</v>
      </c>
      <c r="Q29" s="18">
        <f>[1]!hecalc(8,0,1,_ps*100000,2,_Ts/1,1)/1000</f>
        <v>3.5948081522381865</v>
      </c>
      <c r="R29" s="18">
        <f>[1]!hecalc(8,0,1,_pr*100000,2,_Tr/1,1)/1000</f>
        <v>31.386381664668782</v>
      </c>
    </row>
    <row r="30" spans="2:18" ht="15.75" thickBot="1">
      <c r="B30" s="3" t="s">
        <v>19</v>
      </c>
      <c r="C30" s="34">
        <f>_Flow*(_hr-_hs)</f>
        <v>0</v>
      </c>
      <c r="D30" s="35">
        <f>_Power*(1+_ALmargin)</f>
        <v>0</v>
      </c>
      <c r="E30" s="10">
        <v>0</v>
      </c>
      <c r="F30" s="36">
        <f>_Flow*(1+_ALmargin)</f>
        <v>0</v>
      </c>
      <c r="G30" s="15">
        <v>4.5</v>
      </c>
      <c r="H30" s="16">
        <f>3.2*_atm</f>
        <v>3.2423999999999999</v>
      </c>
      <c r="I30" s="37">
        <f>[1]!hecalc(9,0,1,_ps*100000,2,_Ts/1,1)/1000</f>
        <v>11.848413826189979</v>
      </c>
      <c r="J30" s="15">
        <v>30</v>
      </c>
      <c r="K30" s="16">
        <f>1.2*_atm</f>
        <v>1.2159</v>
      </c>
      <c r="L30" s="37">
        <f>[1]!hecalc(9,0,1,_pr*100000,2,_Tr/1,1)/1000</f>
        <v>170.86644192101485</v>
      </c>
      <c r="N30" s="20">
        <f>IF(_Ts=_Tr,_Ts,(_Ts-_Tr)/LN(_Ts/_Tr))</f>
        <v>13.441427112230816</v>
      </c>
      <c r="O30" s="19">
        <f t="shared" si="2"/>
        <v>0</v>
      </c>
      <c r="P30" s="19">
        <f t="shared" si="2"/>
        <v>0</v>
      </c>
      <c r="Q30" s="18">
        <f>[1]!hecalc(8,0,1,_ps*100000,2,_Ts/1,1)/1000</f>
        <v>3.5948081522381865</v>
      </c>
      <c r="R30" s="18">
        <f>[1]!hecalc(8,0,1,_pr*100000,2,_Tr/1,1)/1000</f>
        <v>19.235550828484882</v>
      </c>
    </row>
    <row r="31" spans="2:18" ht="15.75" thickTop="1">
      <c r="B31" s="44"/>
      <c r="C31" s="45"/>
      <c r="D31" s="45"/>
      <c r="E31" s="46"/>
      <c r="F31" s="47"/>
      <c r="G31" s="48"/>
      <c r="H31" s="49"/>
      <c r="I31" s="50"/>
      <c r="J31" s="48"/>
      <c r="K31" s="49"/>
      <c r="L31" s="50"/>
      <c r="N31" s="53">
        <f t="array" ref="N31">SUM(N26:N30*O26:O30)/SUM(O26:O30)</f>
        <v>66.100749697850986</v>
      </c>
      <c r="O31" s="54">
        <f>SUM(O26:O30)/_WW</f>
        <v>16448.750100486279</v>
      </c>
      <c r="P31" s="54">
        <f>SUM(P26:P30)/_WW</f>
        <v>17271.187605510593</v>
      </c>
      <c r="Q31" s="18"/>
      <c r="R31" s="18"/>
    </row>
    <row r="33" spans="2:18">
      <c r="B33" s="63" t="s">
        <v>24</v>
      </c>
      <c r="C33" s="65" t="s">
        <v>0</v>
      </c>
      <c r="D33" s="61"/>
      <c r="E33" s="62" t="s">
        <v>3</v>
      </c>
      <c r="F33" s="66"/>
      <c r="G33" s="61" t="s">
        <v>7</v>
      </c>
      <c r="H33" s="61"/>
      <c r="I33" s="61"/>
      <c r="J33" s="62" t="s">
        <v>8</v>
      </c>
      <c r="K33" s="61"/>
      <c r="L33" s="61"/>
    </row>
    <row r="34" spans="2:18">
      <c r="B34" s="64"/>
      <c r="C34" s="5" t="s">
        <v>1</v>
      </c>
      <c r="D34" s="4" t="s">
        <v>2</v>
      </c>
      <c r="E34" s="7" t="s">
        <v>1</v>
      </c>
      <c r="F34" s="8" t="s">
        <v>2</v>
      </c>
      <c r="G34" s="4" t="s">
        <v>4</v>
      </c>
      <c r="H34" s="4" t="s">
        <v>5</v>
      </c>
      <c r="I34" s="4" t="s">
        <v>6</v>
      </c>
      <c r="J34" s="7" t="s">
        <v>4</v>
      </c>
      <c r="K34" s="4" t="s">
        <v>5</v>
      </c>
      <c r="L34" s="4" t="s">
        <v>6</v>
      </c>
      <c r="N34" s="1" t="s">
        <v>14</v>
      </c>
      <c r="O34" s="1" t="s">
        <v>13</v>
      </c>
      <c r="P34" s="1" t="s">
        <v>2</v>
      </c>
      <c r="Q34" s="1" t="s">
        <v>11</v>
      </c>
      <c r="R34" s="1" t="s">
        <v>12</v>
      </c>
    </row>
    <row r="35" spans="2:18">
      <c r="B35" s="6" t="s">
        <v>9</v>
      </c>
      <c r="C35" s="17">
        <v>15200</v>
      </c>
      <c r="D35" s="27">
        <f>_Power*(1+_ALmargin)</f>
        <v>15960</v>
      </c>
      <c r="E35" s="28">
        <f>_Power/(_hr-_hs)</f>
        <v>145.52924855721722</v>
      </c>
      <c r="F35" s="29">
        <f>_Flow*(1+_ALmargin)</f>
        <v>152.80571098507809</v>
      </c>
      <c r="G35" s="11">
        <v>35</v>
      </c>
      <c r="H35" s="39">
        <f>K35+_atm</f>
        <v>3.5463750000000003</v>
      </c>
      <c r="I35" s="30">
        <f>[1]!hecalc(9,0,1,_ps*100000,2,_Ts/1,1)/1000</f>
        <v>196.82866513005004</v>
      </c>
      <c r="J35" s="13">
        <v>55</v>
      </c>
      <c r="K35" s="40">
        <f>2.5*_atm</f>
        <v>2.5331250000000001</v>
      </c>
      <c r="L35" s="30">
        <f>[1]!hecalc(9,0,1,_pr*100000,2,_Tr/1,1)/1000</f>
        <v>301.27502316936796</v>
      </c>
      <c r="N35" s="20">
        <f>IF(_Ts=_Tr,_Ts,(_Ts-_Tr)/LN(_Ts/_Tr))</f>
        <v>44.249243944961165</v>
      </c>
      <c r="O35" s="19">
        <f t="shared" ref="O35:P39" si="3">E35*(($I35-$L35)-300*($Q35-$R35))</f>
        <v>118640.07257927561</v>
      </c>
      <c r="P35" s="19">
        <f t="shared" si="3"/>
        <v>124572.07620823941</v>
      </c>
      <c r="Q35" s="18">
        <f>[1]!hecalc(8,0,1,_ps*100000,2,_Ts/1,1)/1000</f>
        <v>17.800190777067577</v>
      </c>
      <c r="R35" s="18">
        <f>[1]!hecalc(8,0,1,_pr*100000,2,_Tr/1,1)/1000</f>
        <v>20.865784667555147</v>
      </c>
    </row>
    <row r="36" spans="2:18" s="23" customFormat="1">
      <c r="B36" s="2" t="s">
        <v>16</v>
      </c>
      <c r="C36" s="21">
        <v>1300</v>
      </c>
      <c r="D36" s="31">
        <f>_Power*(1+_ALmargin)</f>
        <v>1365</v>
      </c>
      <c r="E36" s="22">
        <f>_Power/(_hr-_hs)</f>
        <v>30.393079122677378</v>
      </c>
      <c r="F36" s="32">
        <f>_Flow*(1+_ALmargin)</f>
        <v>31.912733078811247</v>
      </c>
      <c r="G36" s="12">
        <v>5.3</v>
      </c>
      <c r="H36" s="41">
        <f>3.2*_atm</f>
        <v>3.2423999999999999</v>
      </c>
      <c r="I36" s="33">
        <f>[1]!hecalc(9,0,1,_ps*100000,2,_Ts/1,1)/1000</f>
        <v>16.801396656109151</v>
      </c>
      <c r="J36" s="14">
        <v>9</v>
      </c>
      <c r="K36" s="41">
        <f>1.23*_atm</f>
        <v>1.2462975000000001</v>
      </c>
      <c r="L36" s="33">
        <f>[1]!hecalc(9,0,1,_pr*100000,2,_Tr/1,1)/1000</f>
        <v>59.574292247001182</v>
      </c>
      <c r="N36" s="24">
        <f>IF(_Ts=_Tr,_Ts,(_Ts-_Tr)/LN(_Ts/_Tr))</f>
        <v>6.9874899427597903</v>
      </c>
      <c r="O36" s="26">
        <f t="shared" si="3"/>
        <v>73205.998768072823</v>
      </c>
      <c r="P36" s="26">
        <f t="shared" si="3"/>
        <v>76866.29870647646</v>
      </c>
      <c r="Q36" s="25">
        <f>[1]!hecalc(8,0,1,_ps*100000,2,_Ts/1,1)/1000</f>
        <v>4.5980468279899469</v>
      </c>
      <c r="R36" s="25">
        <f>[1]!hecalc(8,0,1,_pr*100000,2,_Tr/1,1)/1000</f>
        <v>12.769424536199971</v>
      </c>
    </row>
    <row r="37" spans="2:18">
      <c r="B37" s="2" t="s">
        <v>17</v>
      </c>
      <c r="C37" s="34">
        <f>_Flow*(_hr-_hs)</f>
        <v>8995.9079513676988</v>
      </c>
      <c r="D37" s="31">
        <f>_Power*(1+_ALmargin)</f>
        <v>9445.7033489360838</v>
      </c>
      <c r="E37" s="9">
        <v>481</v>
      </c>
      <c r="F37" s="32">
        <f>_Flow*(1+_ALmargin)</f>
        <v>505.05</v>
      </c>
      <c r="G37" s="12">
        <v>4.5</v>
      </c>
      <c r="H37" s="41">
        <f>3.2*_atm</f>
        <v>3.2423999999999999</v>
      </c>
      <c r="I37" s="33">
        <f>[1]!hecalc(9,0,1,_ps*100000,2,_Ts/1,1)/1000</f>
        <v>11.848413826189979</v>
      </c>
      <c r="J37" s="51">
        <f>[1]!hecalc(2,0,1,_pr*100000,0,1,1)</f>
        <v>4.4495410194741067</v>
      </c>
      <c r="K37" s="41">
        <f>1.23*_atm</f>
        <v>1.2462975000000001</v>
      </c>
      <c r="L37" s="33">
        <f>[1]!hecalc(9,0,1,_pr*100000,0,1,1)/1000</f>
        <v>30.550925159594758</v>
      </c>
      <c r="N37" s="20">
        <f>IF(_Ts=_Tr,_Ts,(_Ts-_Tr)/LN(_Ts/_Tr))</f>
        <v>4.4747230933333082</v>
      </c>
      <c r="O37" s="19">
        <f t="shared" si="3"/>
        <v>647476.23494699108</v>
      </c>
      <c r="P37" s="19">
        <f t="shared" si="3"/>
        <v>679850.04669434065</v>
      </c>
      <c r="Q37" s="18">
        <f>[1]!hecalc(8,0,1,_ps*100000,2,_Ts/1,1)/1000</f>
        <v>3.5948081522381865</v>
      </c>
      <c r="R37" s="18">
        <f>[1]!hecalc(8,0,1,_pr*100000,0,1,1)/1000</f>
        <v>8.1441646518803132</v>
      </c>
    </row>
    <row r="38" spans="2:18">
      <c r="B38" s="2" t="s">
        <v>18</v>
      </c>
      <c r="C38" s="34">
        <f>_Flow*(_hr-_hs)</f>
        <v>0</v>
      </c>
      <c r="D38" s="31">
        <f>_Power*(1+_ALmargin)</f>
        <v>0</v>
      </c>
      <c r="E38" s="9">
        <v>0</v>
      </c>
      <c r="F38" s="32">
        <f>_Flow*(1+_ALmargin)</f>
        <v>0</v>
      </c>
      <c r="G38" s="12">
        <v>4.5</v>
      </c>
      <c r="H38" s="41">
        <f>3.2*_atm</f>
        <v>3.2423999999999999</v>
      </c>
      <c r="I38" s="33">
        <f>[1]!hecalc(9,0,1,_ps*100000,2,_Ts/1,1)/1000</f>
        <v>11.848413826189979</v>
      </c>
      <c r="J38" s="43">
        <v>300</v>
      </c>
      <c r="K38" s="41">
        <f>1.1*_atm</f>
        <v>1.1145750000000001</v>
      </c>
      <c r="L38" s="33">
        <f>[1]!hecalc(9,0,1,_pr*100000,2,_Tr/1,1)/1000</f>
        <v>1573.5515696893106</v>
      </c>
      <c r="N38" s="20">
        <f>IF(_Ts=_Tr,_Ts,(_Ts-_Tr)/LN(_Ts/_Tr))</f>
        <v>70.362083651162649</v>
      </c>
      <c r="O38" s="19">
        <f t="shared" si="3"/>
        <v>0</v>
      </c>
      <c r="P38" s="19">
        <f t="shared" si="3"/>
        <v>0</v>
      </c>
      <c r="Q38" s="18">
        <f>[1]!hecalc(8,0,1,_ps*100000,2,_Ts/1,1)/1000</f>
        <v>3.5948081522381865</v>
      </c>
      <c r="R38" s="18">
        <f>[1]!hecalc(8,0,1,_pr*100000,2,_Tr/1,1)/1000</f>
        <v>31.386381664668782</v>
      </c>
    </row>
    <row r="39" spans="2:18" ht="15.75" thickBot="1">
      <c r="B39" s="3" t="s">
        <v>19</v>
      </c>
      <c r="C39" s="34">
        <f>_Flow*(_hr-_hs)</f>
        <v>0</v>
      </c>
      <c r="D39" s="35">
        <f>_Power*(1+_ALmargin)</f>
        <v>0</v>
      </c>
      <c r="E39" s="10">
        <v>0</v>
      </c>
      <c r="F39" s="36">
        <f>_Flow*(1+_ALmargin)</f>
        <v>0</v>
      </c>
      <c r="G39" s="15">
        <v>4.5</v>
      </c>
      <c r="H39" s="16">
        <f>3.2*_atm</f>
        <v>3.2423999999999999</v>
      </c>
      <c r="I39" s="37">
        <f>[1]!hecalc(9,0,1,_ps*100000,2,_Ts/1,1)/1000</f>
        <v>11.848413826189979</v>
      </c>
      <c r="J39" s="15">
        <v>30</v>
      </c>
      <c r="K39" s="16">
        <f>1.2*_atm</f>
        <v>1.2159</v>
      </c>
      <c r="L39" s="37">
        <f>[1]!hecalc(9,0,1,_pr*100000,2,_Tr/1,1)/1000</f>
        <v>170.86644192101485</v>
      </c>
      <c r="N39" s="20">
        <f>IF(_Ts=_Tr,_Ts,(_Ts-_Tr)/LN(_Ts/_Tr))</f>
        <v>13.441427112230816</v>
      </c>
      <c r="O39" s="19">
        <f t="shared" si="3"/>
        <v>0</v>
      </c>
      <c r="P39" s="19">
        <f t="shared" si="3"/>
        <v>0</v>
      </c>
      <c r="Q39" s="18">
        <f>[1]!hecalc(8,0,1,_ps*100000,2,_Ts/1,1)/1000</f>
        <v>3.5948081522381865</v>
      </c>
      <c r="R39" s="18">
        <f>[1]!hecalc(8,0,1,_pr*100000,2,_Tr/1,1)/1000</f>
        <v>19.235550828484882</v>
      </c>
    </row>
    <row r="40" spans="2:18" ht="15.75" thickTop="1">
      <c r="B40" s="44"/>
      <c r="C40" s="45"/>
      <c r="D40" s="45"/>
      <c r="E40" s="46"/>
      <c r="F40" s="47"/>
      <c r="G40" s="48"/>
      <c r="H40" s="49"/>
      <c r="I40" s="50"/>
      <c r="J40" s="48"/>
      <c r="K40" s="49"/>
      <c r="L40" s="50"/>
      <c r="N40" s="53">
        <f t="array" ref="N40">SUM(N35:N39*O35:O39)/SUM(O35:O39)</f>
        <v>10.316104420576696</v>
      </c>
      <c r="O40" s="54">
        <f>SUM(O35:O39)/_WW</f>
        <v>12781.557963873189</v>
      </c>
      <c r="P40" s="54">
        <f>SUM(P35:P39)/_WW</f>
        <v>13420.635862066849</v>
      </c>
      <c r="Q40" s="18"/>
      <c r="R40" s="18"/>
    </row>
    <row r="42" spans="2:18">
      <c r="B42" s="63" t="s">
        <v>25</v>
      </c>
      <c r="C42" s="65" t="s">
        <v>0</v>
      </c>
      <c r="D42" s="61"/>
      <c r="E42" s="62" t="s">
        <v>3</v>
      </c>
      <c r="F42" s="66"/>
      <c r="G42" s="61" t="s">
        <v>7</v>
      </c>
      <c r="H42" s="61"/>
      <c r="I42" s="61"/>
      <c r="J42" s="62" t="s">
        <v>8</v>
      </c>
      <c r="K42" s="61"/>
      <c r="L42" s="61"/>
    </row>
    <row r="43" spans="2:18">
      <c r="B43" s="64"/>
      <c r="C43" s="5" t="s">
        <v>1</v>
      </c>
      <c r="D43" s="4" t="s">
        <v>2</v>
      </c>
      <c r="E43" s="7" t="s">
        <v>1</v>
      </c>
      <c r="F43" s="8" t="s">
        <v>2</v>
      </c>
      <c r="G43" s="4" t="s">
        <v>4</v>
      </c>
      <c r="H43" s="4" t="s">
        <v>5</v>
      </c>
      <c r="I43" s="4" t="s">
        <v>6</v>
      </c>
      <c r="J43" s="7" t="s">
        <v>4</v>
      </c>
      <c r="K43" s="4" t="s">
        <v>5</v>
      </c>
      <c r="L43" s="4" t="s">
        <v>6</v>
      </c>
      <c r="N43" s="1" t="s">
        <v>14</v>
      </c>
      <c r="O43" s="1" t="s">
        <v>13</v>
      </c>
      <c r="P43" s="1" t="s">
        <v>2</v>
      </c>
      <c r="Q43" s="1" t="s">
        <v>11</v>
      </c>
      <c r="R43" s="1" t="s">
        <v>12</v>
      </c>
    </row>
    <row r="44" spans="2:18">
      <c r="B44" s="6" t="s">
        <v>9</v>
      </c>
      <c r="C44" s="17">
        <v>15200</v>
      </c>
      <c r="D44" s="27">
        <f>_Power*(1+_ALmargin)</f>
        <v>15960</v>
      </c>
      <c r="E44" s="28">
        <f>_Power/(_hr-_hs)</f>
        <v>145.47167367908034</v>
      </c>
      <c r="F44" s="29">
        <f>_Flow*(1+_ALmargin)</f>
        <v>152.74525736303437</v>
      </c>
      <c r="G44" s="11">
        <v>35</v>
      </c>
      <c r="H44" s="39">
        <f>K44+_atm</f>
        <v>3.7490250000000005</v>
      </c>
      <c r="I44" s="30">
        <f>[1]!hecalc(9,0,1,_ps*100000,2,_Ts/1,1)/1000</f>
        <v>196.81814695603165</v>
      </c>
      <c r="J44" s="13">
        <v>55</v>
      </c>
      <c r="K44" s="40">
        <f>2.7*_atm</f>
        <v>2.7357750000000003</v>
      </c>
      <c r="L44" s="30">
        <f>[1]!hecalc(9,0,1,_pr*100000,2,_Tr/1,1)/1000</f>
        <v>301.30584284610683</v>
      </c>
      <c r="N44" s="20">
        <f>IF(_Ts=_Tr,_Ts,(_Ts-_Tr)/LN(_Ts/_Tr))</f>
        <v>44.249243944961165</v>
      </c>
      <c r="O44" s="19">
        <f t="shared" ref="O44:P48" si="4">E44*(($I44-$L44)-300*($Q44-$R44))</f>
        <v>116690.31445230707</v>
      </c>
      <c r="P44" s="19">
        <f t="shared" si="4"/>
        <v>122524.83017492243</v>
      </c>
      <c r="Q44" s="18">
        <f>[1]!hecalc(8,0,1,_ps*100000,2,_Ts/1,1)/1000</f>
        <v>17.683364923009744</v>
      </c>
      <c r="R44" s="18">
        <f>[1]!hecalc(8,0,1,_pr*100000,2,_Tr/1,1)/1000</f>
        <v>20.70549542023322</v>
      </c>
    </row>
    <row r="45" spans="2:18" s="23" customFormat="1">
      <c r="B45" s="2" t="s">
        <v>16</v>
      </c>
      <c r="C45" s="21">
        <v>1300</v>
      </c>
      <c r="D45" s="31">
        <f>_Power*(1+_ALmargin)</f>
        <v>1365</v>
      </c>
      <c r="E45" s="42">
        <f>_Power/(_hr-_hs)</f>
        <v>36.097355522332656</v>
      </c>
      <c r="F45" s="32">
        <f>_Flow*(1+_ALmargin)</f>
        <v>37.902223298449293</v>
      </c>
      <c r="G45" s="12">
        <v>5.3</v>
      </c>
      <c r="H45" s="41">
        <f>3.2*_atm</f>
        <v>3.2423999999999999</v>
      </c>
      <c r="I45" s="33">
        <f>[1]!hecalc(9,0,1,_ps*100000,2,_Ts/1,1)/1000</f>
        <v>16.801396656109151</v>
      </c>
      <c r="J45" s="14">
        <v>7.8</v>
      </c>
      <c r="K45" s="41">
        <f>1.23*_atm</f>
        <v>1.2462975000000001</v>
      </c>
      <c r="L45" s="33">
        <f>[1]!hecalc(9,0,1,_pr*100000,2,_Tr/1,1)/1000</f>
        <v>52.81511514570095</v>
      </c>
      <c r="N45" s="24">
        <f>IF(_Ts=_Tr,_Ts,(_Ts-_Tr)/LN(_Ts/_Tr))</f>
        <v>6.4696961106115243</v>
      </c>
      <c r="O45" s="26">
        <f t="shared" si="4"/>
        <v>78458.024008191482</v>
      </c>
      <c r="P45" s="26">
        <f t="shared" si="4"/>
        <v>82380.925208601067</v>
      </c>
      <c r="Q45" s="25">
        <f>[1]!hecalc(8,0,1,_ps*100000,2,_Ts/1,1)/1000</f>
        <v>4.5980468279899469</v>
      </c>
      <c r="R45" s="25">
        <f>[1]!hecalc(8,0,1,_pr*100000,2,_Tr/1,1)/1000</f>
        <v>11.96313150470049</v>
      </c>
    </row>
    <row r="46" spans="2:18">
      <c r="B46" s="2" t="s">
        <v>17</v>
      </c>
      <c r="C46" s="21">
        <v>0</v>
      </c>
      <c r="D46" s="31">
        <f>_Power*(1+_ALmargin)</f>
        <v>0</v>
      </c>
      <c r="E46" s="22">
        <f>_Power/(_hr-_hs)</f>
        <v>0</v>
      </c>
      <c r="F46" s="32">
        <f>_Flow*(1+_ALmargin)</f>
        <v>0</v>
      </c>
      <c r="G46" s="12">
        <v>4.5</v>
      </c>
      <c r="H46" s="41">
        <f>3.2*_atm</f>
        <v>3.2423999999999999</v>
      </c>
      <c r="I46" s="33">
        <f>[1]!hecalc(9,0,1,_ps*100000,2,_Ts/1,1)/1000</f>
        <v>11.848413826189979</v>
      </c>
      <c r="J46" s="51">
        <f>[1]!hecalc(2,0,1,_pr*100000,0,1,1)</f>
        <v>4.4495410194741067</v>
      </c>
      <c r="K46" s="41">
        <f>1.23*_atm</f>
        <v>1.2462975000000001</v>
      </c>
      <c r="L46" s="33">
        <f>[1]!hecalc(9,0,1,_pr*100000,0,1,1)/1000</f>
        <v>30.550925159594758</v>
      </c>
      <c r="N46" s="20">
        <f>IF(_Ts=_Tr,_Ts,(_Ts-_Tr)/LN(_Ts/_Tr))</f>
        <v>4.4747230933333082</v>
      </c>
      <c r="O46" s="19">
        <f t="shared" si="4"/>
        <v>0</v>
      </c>
      <c r="P46" s="19">
        <f t="shared" si="4"/>
        <v>0</v>
      </c>
      <c r="Q46" s="18">
        <f>[1]!hecalc(8,0,1,_ps*100000,2,_Ts/1,1)/1000</f>
        <v>3.5948081522381865</v>
      </c>
      <c r="R46" s="18">
        <f>[1]!hecalc(8,0,1,_pr*100000,0,1,1)/1000</f>
        <v>8.1441646518803132</v>
      </c>
    </row>
    <row r="47" spans="2:18">
      <c r="B47" s="2" t="s">
        <v>18</v>
      </c>
      <c r="C47" s="34">
        <f>_Flow*(_hr-_hs)</f>
        <v>70276.642013840436</v>
      </c>
      <c r="D47" s="31">
        <f>_Power*(1+_ALmargin)</f>
        <v>73790.474114532466</v>
      </c>
      <c r="E47" s="9">
        <v>45</v>
      </c>
      <c r="F47" s="32">
        <f>_Flow*(1+_ALmargin)</f>
        <v>47.25</v>
      </c>
      <c r="G47" s="12">
        <v>4.5</v>
      </c>
      <c r="H47" s="41">
        <f>3.2*_atm</f>
        <v>3.2423999999999999</v>
      </c>
      <c r="I47" s="33">
        <f>[1]!hecalc(9,0,1,_ps*100000,2,_Ts/1,1)/1000</f>
        <v>11.848413826189979</v>
      </c>
      <c r="J47" s="43">
        <v>300</v>
      </c>
      <c r="K47" s="41">
        <f>1.1*_atm</f>
        <v>1.1145750000000001</v>
      </c>
      <c r="L47" s="33">
        <f>[1]!hecalc(9,0,1,_pr*100000,2,_Tr/1,1)/1000</f>
        <v>1573.5515696893106</v>
      </c>
      <c r="N47" s="20">
        <f>IF(_Ts=_Tr,_Ts,(_Ts-_Tr)/LN(_Ts/_Tr))</f>
        <v>70.362083651162649</v>
      </c>
      <c r="O47" s="19">
        <f t="shared" si="4"/>
        <v>304909.60040397255</v>
      </c>
      <c r="P47" s="19">
        <f t="shared" si="4"/>
        <v>320155.08042417117</v>
      </c>
      <c r="Q47" s="18">
        <f>[1]!hecalc(8,0,1,_ps*100000,2,_Ts/1,1)/1000</f>
        <v>3.5948081522381865</v>
      </c>
      <c r="R47" s="18">
        <f>[1]!hecalc(8,0,1,_pr*100000,2,_Tr/1,1)/1000</f>
        <v>31.386381664668782</v>
      </c>
    </row>
    <row r="48" spans="2:18" ht="15.75" thickBot="1">
      <c r="B48" s="3" t="s">
        <v>19</v>
      </c>
      <c r="C48" s="34">
        <f>_Flow*(_hr-_hs)</f>
        <v>24965.830410887505</v>
      </c>
      <c r="D48" s="35">
        <f>_Power*(1+_ALmargin)</f>
        <v>26214.121931431881</v>
      </c>
      <c r="E48" s="10">
        <v>157</v>
      </c>
      <c r="F48" s="36">
        <f>_Flow*(1+_ALmargin)</f>
        <v>164.85</v>
      </c>
      <c r="G48" s="15">
        <v>4.5</v>
      </c>
      <c r="H48" s="16">
        <f>3.2*_atm</f>
        <v>3.2423999999999999</v>
      </c>
      <c r="I48" s="37">
        <f>[1]!hecalc(9,0,1,_ps*100000,2,_Ts/1,1)/1000</f>
        <v>11.848413826189979</v>
      </c>
      <c r="J48" s="15">
        <v>30</v>
      </c>
      <c r="K48" s="16">
        <f>1.2*_atm</f>
        <v>1.2159</v>
      </c>
      <c r="L48" s="37">
        <f>[1]!hecalc(9,0,1,_pr*100000,2,_Tr/1,1)/1000</f>
        <v>170.86644192101485</v>
      </c>
      <c r="N48" s="20">
        <f>IF(_Ts=_Tr,_Ts,(_Ts-_Tr)/LN(_Ts/_Tr))</f>
        <v>13.441427112230816</v>
      </c>
      <c r="O48" s="19">
        <f t="shared" si="4"/>
        <v>711713.14964033174</v>
      </c>
      <c r="P48" s="19">
        <f t="shared" si="4"/>
        <v>747298.80712234834</v>
      </c>
      <c r="Q48" s="18">
        <f>[1]!hecalc(8,0,1,_ps*100000,2,_Ts/1,1)/1000</f>
        <v>3.5948081522381865</v>
      </c>
      <c r="R48" s="18">
        <f>[1]!hecalc(8,0,1,_pr*100000,2,_Tr/1,1)/1000</f>
        <v>19.235550828484882</v>
      </c>
    </row>
    <row r="49" spans="2:18" ht="15.75" thickTop="1">
      <c r="B49" s="44"/>
      <c r="C49" s="45"/>
      <c r="D49" s="45"/>
      <c r="E49" s="46"/>
      <c r="F49" s="47"/>
      <c r="G49" s="48"/>
      <c r="H49" s="49"/>
      <c r="I49" s="50"/>
      <c r="J49" s="48"/>
      <c r="K49" s="49"/>
      <c r="L49" s="50"/>
      <c r="N49" s="53">
        <f t="array" ref="N49">SUM(N44:N48*O44:O48)/SUM(O44:O48)</f>
        <v>30.279293957766868</v>
      </c>
      <c r="O49" s="54">
        <f>SUM(O44:O48)/_WW</f>
        <v>18453.366830022376</v>
      </c>
      <c r="P49" s="54">
        <f>SUM(P44:P48)/_WW</f>
        <v>19376.035171523494</v>
      </c>
      <c r="Q49" s="18"/>
      <c r="R49" s="18"/>
    </row>
    <row r="51" spans="2:18">
      <c r="B51" s="63" t="s">
        <v>26</v>
      </c>
      <c r="C51" s="65" t="s">
        <v>0</v>
      </c>
      <c r="D51" s="61"/>
      <c r="E51" s="62" t="s">
        <v>3</v>
      </c>
      <c r="F51" s="66"/>
      <c r="G51" s="61" t="s">
        <v>7</v>
      </c>
      <c r="H51" s="61"/>
      <c r="I51" s="61"/>
      <c r="J51" s="62" t="s">
        <v>8</v>
      </c>
      <c r="K51" s="61"/>
      <c r="L51" s="61"/>
    </row>
    <row r="52" spans="2:18">
      <c r="B52" s="64"/>
      <c r="C52" s="5" t="s">
        <v>1</v>
      </c>
      <c r="D52" s="4" t="s">
        <v>2</v>
      </c>
      <c r="E52" s="7" t="s">
        <v>1</v>
      </c>
      <c r="F52" s="8" t="s">
        <v>2</v>
      </c>
      <c r="G52" s="4" t="s">
        <v>4</v>
      </c>
      <c r="H52" s="4" t="s">
        <v>5</v>
      </c>
      <c r="I52" s="4" t="s">
        <v>6</v>
      </c>
      <c r="J52" s="7" t="s">
        <v>4</v>
      </c>
      <c r="K52" s="4" t="s">
        <v>5</v>
      </c>
      <c r="L52" s="4" t="s">
        <v>6</v>
      </c>
      <c r="N52" s="1" t="s">
        <v>14</v>
      </c>
      <c r="O52" s="1" t="s">
        <v>13</v>
      </c>
      <c r="P52" s="1" t="s">
        <v>2</v>
      </c>
      <c r="Q52" s="1" t="s">
        <v>11</v>
      </c>
      <c r="R52" s="1" t="s">
        <v>12</v>
      </c>
    </row>
    <row r="53" spans="2:18">
      <c r="B53" s="6" t="s">
        <v>9</v>
      </c>
      <c r="C53" s="17">
        <v>10100</v>
      </c>
      <c r="D53" s="27">
        <f>_Power*(1+_ALmargin)</f>
        <v>10605</v>
      </c>
      <c r="E53" s="28">
        <f>_Power/(_hr-_hs)</f>
        <v>96.66209895780996</v>
      </c>
      <c r="F53" s="29">
        <f>_Flow*(1+_ALmargin)</f>
        <v>101.49520390570046</v>
      </c>
      <c r="G53" s="11">
        <v>35</v>
      </c>
      <c r="H53" s="39">
        <f>K53+_atm</f>
        <v>3.7490250000000005</v>
      </c>
      <c r="I53" s="30">
        <f>[1]!hecalc(9,0,1,_ps*100000,2,_Ts/1,1)/1000</f>
        <v>196.81814695603165</v>
      </c>
      <c r="J53" s="13">
        <v>55</v>
      </c>
      <c r="K53" s="40">
        <f>2.7*_atm</f>
        <v>2.7357750000000003</v>
      </c>
      <c r="L53" s="30">
        <f>[1]!hecalc(9,0,1,_pr*100000,2,_Tr/1,1)/1000</f>
        <v>301.30584284610683</v>
      </c>
      <c r="N53" s="20">
        <f>IF(_Ts=_Tr,_Ts,(_Ts-_Tr)/LN(_Ts/_Tr))</f>
        <v>44.249243944961165</v>
      </c>
      <c r="O53" s="19">
        <f t="shared" ref="O53:P57" si="5">E53*(($I53-$L53)-300*($Q53-$R53))</f>
        <v>77537.643155809303</v>
      </c>
      <c r="P53" s="19">
        <f t="shared" si="5"/>
        <v>81414.525313599777</v>
      </c>
      <c r="Q53" s="18">
        <f>[1]!hecalc(8,0,1,_ps*100000,2,_Ts/1,1)/1000</f>
        <v>17.683364923009744</v>
      </c>
      <c r="R53" s="18">
        <f>[1]!hecalc(8,0,1,_pr*100000,2,_Tr/1,1)/1000</f>
        <v>20.70549542023322</v>
      </c>
    </row>
    <row r="54" spans="2:18" s="23" customFormat="1">
      <c r="B54" s="2" t="s">
        <v>16</v>
      </c>
      <c r="C54" s="21">
        <v>900</v>
      </c>
      <c r="D54" s="31">
        <f>_Power*(1+_ALmargin)</f>
        <v>945</v>
      </c>
      <c r="E54" s="42">
        <f>_Power/(_hr-_hs)</f>
        <v>26.245909926147093</v>
      </c>
      <c r="F54" s="32">
        <f>_Flow*(1+_ALmargin)</f>
        <v>27.558205422454449</v>
      </c>
      <c r="G54" s="12">
        <v>5.3</v>
      </c>
      <c r="H54" s="41">
        <f>3.2*_atm</f>
        <v>3.2423999999999999</v>
      </c>
      <c r="I54" s="33">
        <f>[1]!hecalc(9,0,1,_ps*100000,2,_Ts/1,1)/1000</f>
        <v>16.801396656109151</v>
      </c>
      <c r="J54" s="14">
        <v>7.5</v>
      </c>
      <c r="K54" s="41">
        <f>1.23*_atm</f>
        <v>1.2462975000000001</v>
      </c>
      <c r="L54" s="33">
        <f>[1]!hecalc(9,0,1,_pr*100000,2,_Tr/1,1)/1000</f>
        <v>51.092453911601318</v>
      </c>
      <c r="N54" s="24">
        <f>IF(_Ts=_Tr,_Ts,(_Ts-_Tr)/LN(_Ts/_Tr))</f>
        <v>6.3364748810620295</v>
      </c>
      <c r="O54" s="26">
        <f t="shared" si="5"/>
        <v>55317.67051757891</v>
      </c>
      <c r="P54" s="26">
        <f t="shared" si="5"/>
        <v>58083.554043457865</v>
      </c>
      <c r="Q54" s="25">
        <f>[1]!hecalc(8,0,1,_ps*100000,2,_Ts/1,1)/1000</f>
        <v>4.5980468279899469</v>
      </c>
      <c r="R54" s="25">
        <f>[1]!hecalc(8,0,1,_pr*100000,2,_Tr/1,1)/1000</f>
        <v>11.737911118688807</v>
      </c>
    </row>
    <row r="55" spans="2:18">
      <c r="B55" s="2" t="s">
        <v>17</v>
      </c>
      <c r="C55" s="21">
        <v>500</v>
      </c>
      <c r="D55" s="31">
        <f>_Power*(1+_ALmargin)</f>
        <v>525</v>
      </c>
      <c r="E55" s="22">
        <f>_Power/(_hr-_hs)</f>
        <v>26.734377597031262</v>
      </c>
      <c r="F55" s="32">
        <f>_Flow*(1+_ALmargin)</f>
        <v>28.071096476882825</v>
      </c>
      <c r="G55" s="12">
        <v>4.5</v>
      </c>
      <c r="H55" s="41">
        <f>3.2*_atm</f>
        <v>3.2423999999999999</v>
      </c>
      <c r="I55" s="33">
        <f>[1]!hecalc(9,0,1,_ps*100000,2,_Ts/1,1)/1000</f>
        <v>11.848413826189979</v>
      </c>
      <c r="J55" s="51">
        <f>[1]!hecalc(2,0,1,_pr*100000,0,1,1)</f>
        <v>4.4495410194741067</v>
      </c>
      <c r="K55" s="41">
        <f>1.23*_atm</f>
        <v>1.2462975000000001</v>
      </c>
      <c r="L55" s="33">
        <f>[1]!hecalc(9,0,1,_pr*100000,0,1,1)/1000</f>
        <v>30.550925159594758</v>
      </c>
      <c r="N55" s="20">
        <f>IF(_Ts=_Tr,_Ts,(_Ts-_Tr)/LN(_Ts/_Tr))</f>
        <v>4.4747230933333082</v>
      </c>
      <c r="O55" s="19">
        <f t="shared" si="5"/>
        <v>35987.264345482305</v>
      </c>
      <c r="P55" s="19">
        <f t="shared" si="5"/>
        <v>37786.627562756425</v>
      </c>
      <c r="Q55" s="18">
        <f>[1]!hecalc(8,0,1,_ps*100000,2,_Ts/1,1)/1000</f>
        <v>3.5948081522381865</v>
      </c>
      <c r="R55" s="18">
        <f>[1]!hecalc(8,0,1,_pr*100000,0,1,1)/1000</f>
        <v>8.1441646518803132</v>
      </c>
    </row>
    <row r="56" spans="2:18">
      <c r="B56" s="2" t="s">
        <v>18</v>
      </c>
      <c r="C56" s="34">
        <f>_Flow*(_hr-_hs)</f>
        <v>0</v>
      </c>
      <c r="D56" s="31">
        <f>_Power*(1+_ALmargin)</f>
        <v>0</v>
      </c>
      <c r="E56" s="9">
        <v>0</v>
      </c>
      <c r="F56" s="32">
        <f>_Flow*(1+_ALmargin)</f>
        <v>0</v>
      </c>
      <c r="G56" s="12">
        <v>4.5</v>
      </c>
      <c r="H56" s="41">
        <f>3.2*_atm</f>
        <v>3.2423999999999999</v>
      </c>
      <c r="I56" s="33">
        <f>[1]!hecalc(9,0,1,_ps*100000,2,_Ts/1,1)/1000</f>
        <v>11.848413826189979</v>
      </c>
      <c r="J56" s="43">
        <v>300</v>
      </c>
      <c r="K56" s="41">
        <f>1.1*_atm</f>
        <v>1.1145750000000001</v>
      </c>
      <c r="L56" s="33">
        <f>[1]!hecalc(9,0,1,_pr*100000,2,_Tr/1,1)/1000</f>
        <v>1573.5515696893106</v>
      </c>
      <c r="N56" s="20">
        <f>IF(_Ts=_Tr,_Ts,(_Ts-_Tr)/LN(_Ts/_Tr))</f>
        <v>70.362083651162649</v>
      </c>
      <c r="O56" s="19">
        <f t="shared" si="5"/>
        <v>0</v>
      </c>
      <c r="P56" s="19">
        <f t="shared" si="5"/>
        <v>0</v>
      </c>
      <c r="Q56" s="18">
        <f>[1]!hecalc(8,0,1,_ps*100000,2,_Ts/1,1)/1000</f>
        <v>3.5948081522381865</v>
      </c>
      <c r="R56" s="18">
        <f>[1]!hecalc(8,0,1,_pr*100000,2,_Tr/1,1)/1000</f>
        <v>31.386381664668782</v>
      </c>
    </row>
    <row r="57" spans="2:18">
      <c r="B57" s="3" t="s">
        <v>19</v>
      </c>
      <c r="C57" s="34">
        <f>_Flow*(_hr-_hs)</f>
        <v>0</v>
      </c>
      <c r="D57" s="35">
        <f>_Power*(1+_ALmargin)</f>
        <v>0</v>
      </c>
      <c r="E57" s="10">
        <v>0</v>
      </c>
      <c r="F57" s="36">
        <f>_Flow*(1+_ALmargin)</f>
        <v>0</v>
      </c>
      <c r="G57" s="15">
        <v>4.5</v>
      </c>
      <c r="H57" s="16">
        <f>3.2*_atm</f>
        <v>3.2423999999999999</v>
      </c>
      <c r="I57" s="37">
        <f>[1]!hecalc(9,0,1,_ps*100000,2,_Ts/1,1)/1000</f>
        <v>11.848413826189979</v>
      </c>
      <c r="J57" s="15">
        <v>30</v>
      </c>
      <c r="K57" s="16">
        <f>1.2*_atm</f>
        <v>1.2159</v>
      </c>
      <c r="L57" s="37">
        <f>[1]!hecalc(9,0,1,_pr*100000,2,_Tr/1,1)/1000</f>
        <v>170.86644192101485</v>
      </c>
      <c r="N57" s="20">
        <f>IF(_Ts=_Tr,_Ts,(_Ts-_Tr)/LN(_Ts/_Tr))</f>
        <v>13.441427112230816</v>
      </c>
      <c r="O57" s="19">
        <f t="shared" si="5"/>
        <v>0</v>
      </c>
      <c r="P57" s="19">
        <f t="shared" si="5"/>
        <v>0</v>
      </c>
      <c r="Q57" s="18">
        <f>[1]!hecalc(8,0,1,_ps*100000,2,_Ts/1,1)/1000</f>
        <v>3.5948081522381865</v>
      </c>
      <c r="R57" s="18">
        <f>[1]!hecalc(8,0,1,_pr*100000,2,_Tr/1,1)/1000</f>
        <v>19.235550828484882</v>
      </c>
    </row>
    <row r="58" spans="2:18" ht="15.75" thickBot="1">
      <c r="B58" s="44"/>
      <c r="C58" s="45"/>
      <c r="D58" s="45"/>
      <c r="E58" s="46"/>
      <c r="F58" s="47"/>
      <c r="G58" s="48"/>
      <c r="H58" s="49"/>
      <c r="I58" s="50"/>
      <c r="J58" s="48"/>
      <c r="K58" s="49"/>
      <c r="L58" s="50"/>
      <c r="N58" s="20">
        <f t="array" ref="N58">SUM(N53:N57*O53:O57)/SUM(O53:O57)</f>
        <v>23.350355139828803</v>
      </c>
      <c r="O58" s="19">
        <f>SUM(O53:O57)/_WW</f>
        <v>2571.2067718609724</v>
      </c>
      <c r="P58" s="19">
        <f>SUM(P53:P57)/_WW</f>
        <v>2699.7671104540209</v>
      </c>
      <c r="Q58" s="18"/>
      <c r="R58" s="18"/>
    </row>
    <row r="59" spans="2:18" ht="15.75" thickTop="1">
      <c r="N59" s="53">
        <f t="array" ref="N59">SUM(N54:N58*O54:O58)/SUM(O54:O58)</f>
        <v>6.0887745688344062</v>
      </c>
      <c r="O59" s="54">
        <f>SUM(O54:O58)/_WW</f>
        <v>1429.5859132221651</v>
      </c>
      <c r="P59" s="54">
        <f>SUM(P54:P58)/_WW</f>
        <v>1501.0652088832737</v>
      </c>
    </row>
  </sheetData>
  <mergeCells count="32">
    <mergeCell ref="B42:B43"/>
    <mergeCell ref="C42:D42"/>
    <mergeCell ref="E42:F42"/>
    <mergeCell ref="G42:I42"/>
    <mergeCell ref="J42:L42"/>
    <mergeCell ref="B51:B52"/>
    <mergeCell ref="C51:D51"/>
    <mergeCell ref="E51:F51"/>
    <mergeCell ref="G51:I51"/>
    <mergeCell ref="J51:L51"/>
    <mergeCell ref="B24:B25"/>
    <mergeCell ref="C24:D24"/>
    <mergeCell ref="E24:F24"/>
    <mergeCell ref="G24:I24"/>
    <mergeCell ref="J24:L24"/>
    <mergeCell ref="B33:B34"/>
    <mergeCell ref="C33:D33"/>
    <mergeCell ref="E33:F33"/>
    <mergeCell ref="G33:I33"/>
    <mergeCell ref="J33:L33"/>
    <mergeCell ref="J6:L6"/>
    <mergeCell ref="B15:B16"/>
    <mergeCell ref="C15:D15"/>
    <mergeCell ref="E15:F15"/>
    <mergeCell ref="G15:I15"/>
    <mergeCell ref="J15:L15"/>
    <mergeCell ref="E1:G2"/>
    <mergeCell ref="C2:C3"/>
    <mergeCell ref="B6:B7"/>
    <mergeCell ref="C6:D6"/>
    <mergeCell ref="E6:F6"/>
    <mergeCell ref="G6:I6"/>
  </mergeCells>
  <printOptions horizontalCentered="1" verticalCentered="1"/>
  <pageMargins left="0.23622047244094491" right="0.27559055118110237" top="0.74803149606299213" bottom="0.74803149606299213" header="0.31496062992125984" footer="0.31496062992125984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2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26</vt:i4>
      </vt:variant>
    </vt:vector>
  </HeadingPairs>
  <TitlesOfParts>
    <vt:vector size="30" baseType="lpstr">
      <vt:lpstr>Spec</vt:lpstr>
      <vt:lpstr>Spec (2)</vt:lpstr>
      <vt:lpstr>Feuil2</vt:lpstr>
      <vt:lpstr>Feuil3</vt:lpstr>
      <vt:lpstr>Spec!_ALmargin</vt:lpstr>
      <vt:lpstr>'Spec (2)'!_ALmargin</vt:lpstr>
      <vt:lpstr>'Spec (2)'!_atm</vt:lpstr>
      <vt:lpstr>_atm</vt:lpstr>
      <vt:lpstr>Spec!_Flow</vt:lpstr>
      <vt:lpstr>'Spec (2)'!_Flow</vt:lpstr>
      <vt:lpstr>Spec!_FlowAL</vt:lpstr>
      <vt:lpstr>'Spec (2)'!_FlowAL</vt:lpstr>
      <vt:lpstr>Spec!_hr</vt:lpstr>
      <vt:lpstr>'Spec (2)'!_hr</vt:lpstr>
      <vt:lpstr>Spec!_hs</vt:lpstr>
      <vt:lpstr>'Spec (2)'!_hs</vt:lpstr>
      <vt:lpstr>Spec!_Power</vt:lpstr>
      <vt:lpstr>'Spec (2)'!_Power</vt:lpstr>
      <vt:lpstr>Spec!_PowerAL</vt:lpstr>
      <vt:lpstr>'Spec (2)'!_PowerAL</vt:lpstr>
      <vt:lpstr>Spec!_pr</vt:lpstr>
      <vt:lpstr>'Spec (2)'!_pr</vt:lpstr>
      <vt:lpstr>Spec!_ps</vt:lpstr>
      <vt:lpstr>'Spec (2)'!_ps</vt:lpstr>
      <vt:lpstr>Spec!_Tr</vt:lpstr>
      <vt:lpstr>'Spec (2)'!_Tr</vt:lpstr>
      <vt:lpstr>Spec!_Ts</vt:lpstr>
      <vt:lpstr>'Spec (2)'!_Ts</vt:lpstr>
      <vt:lpstr>'Spec (2)'!_WW</vt:lpstr>
      <vt:lpstr>_WW</vt:lpstr>
    </vt:vector>
  </TitlesOfParts>
  <Company>Air Liquide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Golo Zick : ALFR-0066072-L</dc:creator>
  <cp:lastModifiedBy>Guillaume DELAUTRE : ALFR-0066006-L</cp:lastModifiedBy>
  <cp:lastPrinted>2014-12-15T16:52:14Z</cp:lastPrinted>
  <dcterms:created xsi:type="dcterms:W3CDTF">2013-10-10T09:07:14Z</dcterms:created>
  <dcterms:modified xsi:type="dcterms:W3CDTF">2015-02-23T17:34:02Z</dcterms:modified>
</cp:coreProperties>
</file>